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90" windowHeight="8195" tabRatio="456" activeTab="0"/>
  </bookViews>
  <sheets>
    <sheet name="Sheet2" sheetId="1" r:id="rId1"/>
  </sheets>
  <definedNames>
    <definedName name="Excel_BuiltIn_Print_Area_1">'Sheet2'!$A$1:$C$360</definedName>
    <definedName name="Excel_BuiltIn_Print_Area_11">'Sheet2'!$A$1:$C$357</definedName>
    <definedName name="Excel_BuiltIn_Print_Area_1_1">'Sheet2'!$A$1:$G$359</definedName>
    <definedName name="Excel_BuiltIn_Print_Area_1_11">'Sheet2'!$A$1:$C$359</definedName>
    <definedName name="Excel_BuiltIn_Print_Area_1_1_1">'Sheet2'!$A$1:$G$323</definedName>
    <definedName name="Excel_BuiltIn_Print_Area_1_1_1_1">'Sheet2'!$A$1:$C$355</definedName>
    <definedName name="Excel_BuiltIn_Print_Area_1_1_1_1_1">'Sheet2'!$A$2:$C$355</definedName>
    <definedName name="Excel_BuiltIn_Print_Area_1_1_1_1_1_1">'Sheet2'!$A$2:$C$355</definedName>
    <definedName name="Excel_BuiltIn_Print_Area_1_1_1_1_1_1_1">#REF!</definedName>
    <definedName name="Excel_BuiltIn_Print_Area_1_1_1_1_1_1_1_1">#REF!</definedName>
    <definedName name="Excel_BuiltIn_Print_Area_2_1">'Sheet2'!$A$2:$C$347</definedName>
    <definedName name="Excel_BuiltIn_Print_Area_2_1_1">'Sheet2'!$A$2:$C$347</definedName>
    <definedName name="Excel_BuiltIn_Print_Titles">'Sheet2'!#REF!</definedName>
    <definedName name="_xlnm.Print_Area" localSheetId="0">'Sheet2'!$A$1:$J$360</definedName>
  </definedNames>
  <calcPr fullCalcOnLoad="1"/>
</workbook>
</file>

<file path=xl/sharedStrings.xml><?xml version="1.0" encoding="utf-8"?>
<sst xmlns="http://schemas.openxmlformats.org/spreadsheetml/2006/main" count="339" uniqueCount="100">
  <si>
    <t>MUNICIPIUL CRAIOVA</t>
  </si>
  <si>
    <t>PRIMARIA MUNICIPIULUI CRAIOVA</t>
  </si>
  <si>
    <t>DIRECTIA ELABORARE SI IMPLEMENTARE PROIECTE</t>
  </si>
  <si>
    <t>Mii lei</t>
  </si>
  <si>
    <t>Capitol Bugetar</t>
  </si>
  <si>
    <t>Denumire</t>
  </si>
  <si>
    <t>Total (mii lei)</t>
  </si>
  <si>
    <t>TRIM I</t>
  </si>
  <si>
    <t>TRIM II</t>
  </si>
  <si>
    <t>TRIM III</t>
  </si>
  <si>
    <t>Cap. 65.02 (Invatamant)</t>
  </si>
  <si>
    <t>65.02.03.01</t>
  </si>
  <si>
    <t xml:space="preserve">Cresterea eficientei energetice a cladirilor publice din Municipiul Craiova apartinând sectorului Educație - Gradinița cu program prelungit ”Elena Farago” inclusiv Creșa nr. 8 </t>
  </si>
  <si>
    <t>58.01.01</t>
  </si>
  <si>
    <t>58.01.02</t>
  </si>
  <si>
    <t>58.01.03</t>
  </si>
  <si>
    <t>42.02.69</t>
  </si>
  <si>
    <t>48.02.01.01</t>
  </si>
  <si>
    <t>48.02.01.02</t>
  </si>
  <si>
    <t>Venituri proprii</t>
  </si>
  <si>
    <t>Cresterea eficientei energetice a cladirilor publice din Municipiul Craiova apartinând sectorului Educație - Gradinița cu program prelungit ”Floare Albastră” inclusiv Creșa nr. 3</t>
  </si>
  <si>
    <t xml:space="preserve">Cresterea eficientei energetice a cladirilor publice din Municipiul Craiova aparti-nând sectorului Educație - Gradinița cu program prelungit ”Piticot” inclusiv Creșa nr. 5  </t>
  </si>
  <si>
    <t>Creşterea accesului la educatie prin imbunatatirea infrastructurii unitatilor de inva- tamant din municipiul Craiova – Gradinita cu program prelungit Curcubeul Copilăriei</t>
  </si>
  <si>
    <t xml:space="preserve">Creşterea accesului la educatie prin imbunatatirea infrastructurii unitatilor de in-vatamant din municipiul Craiova – Gradinita cu program prelungit Căsuța cu povești </t>
  </si>
  <si>
    <t xml:space="preserve">Creşterea accesului la educatie prin imbunatatirea infrastructurii unitatilor de invatamant din municipiul Craiova – Gradinita cu program prelungit Ion Creangă  </t>
  </si>
  <si>
    <t xml:space="preserve">Creşterea accesului la educatie prin imbunatatirea infrastructurii unitatilor de invatamant din municipiul Craiova – Gradinita cu program prelungit Phoenix </t>
  </si>
  <si>
    <t>65.02.04.01</t>
  </si>
  <si>
    <t xml:space="preserve">Îmbunătățirea infrastructurii educaționale din Municipiul Craiova prin constructia/ reabilitarea/modernizarea/extinderea/echiparea Scolii Gimnaziale “Mircea Eliade” </t>
  </si>
  <si>
    <t>48.02.01.03</t>
  </si>
  <si>
    <t xml:space="preserve">Îmbunătățirea infrastructurii educaționale din Municipiul Craiova prin constructia/ reabilitarea/modernizarea/extinderea/echiparea Scolii Gimnaziale “Gheorghe Titeica” </t>
  </si>
  <si>
    <t xml:space="preserve"> </t>
  </si>
  <si>
    <t>65.02.50</t>
  </si>
  <si>
    <t>Școala virtuală în municipiul Craiova</t>
  </si>
  <si>
    <t>Masuri pentru limitArea raSpandirii coronavirusului in uniTatile de Invatamant PrEuNiversiTaR din mUnicipiul Craiova – M.A.S.T.I. Pentru Craiova</t>
  </si>
  <si>
    <t>65.02.04.02</t>
  </si>
  <si>
    <t>Creșterea calității infrastructurii educaționale la Colegiul Tehnic de Industrie Alimentară Craiova</t>
  </si>
  <si>
    <t>Total cap. 65.02</t>
  </si>
  <si>
    <t>Cap. 66.02.  (Sănătate)</t>
  </si>
  <si>
    <t>66.02.06.01</t>
  </si>
  <si>
    <t>Cresterea eficientei energetice a cladirilor publice din Municipiul Craiova apartinand sectorului Sanatate, Spitalul Clinic de Boli Infectioase si Pneumoftiziologie Victor Babes Craiova</t>
  </si>
  <si>
    <t>Reabilitare corp C1 – Ambulatoriu Pavilion A, extindere cu lift exterior si amplasare rampa de gunoi (colectare selectiva) la Spitalul Clinic Municipal Filantropia din Municipiul Craiova</t>
  </si>
  <si>
    <t>Total cap. 66.02</t>
  </si>
  <si>
    <t>Cap. 67.02.  (Cultura, recreere si religie)</t>
  </si>
  <si>
    <t>67.02.03.12</t>
  </si>
  <si>
    <t xml:space="preserve">Conservarea, protejarea, promovarea si dezvoltarea patrimoniului national si cultural - Casa Rusănescu (Casa Casatoriilor) </t>
  </si>
  <si>
    <t>Amenajarea de parcuri si gradini in municipiul Craiova - Parcul Nicolae Romanescu</t>
  </si>
  <si>
    <t>67.02.03.30</t>
  </si>
  <si>
    <t>RESTART_4Danube – Boosting cREative induSTries in urbAn Regeneration for a stronger Danube region</t>
  </si>
  <si>
    <t>Total cap. 67.02</t>
  </si>
  <si>
    <t>Cap. 70.02.  (Loc., serv. si dezv. Publica)</t>
  </si>
  <si>
    <t>70.02.50</t>
  </si>
  <si>
    <t>Promovarea incluziunii sociale și combaterea sărăciei în comunitățile defavorizate din municipiul Craiova – faza II – Zona Fantâna Popova</t>
  </si>
  <si>
    <t>70.02.03.30</t>
  </si>
  <si>
    <t>Cresterea Eficientei Energetice in cadrul cladirilor RezidenTiale din Municipiul Craiova - CEERT L4</t>
  </si>
  <si>
    <t xml:space="preserve">Cresterea Eficientei Energetice in cadrul cladirilor RezidenTiale din Municipiul Craiova - CEERT L5 </t>
  </si>
  <si>
    <t>Creșterea eficienței energetice în cadrul clădirilor rezidențiale din Municipiul Craiova - CEERT L4.1</t>
  </si>
  <si>
    <t>Creșterea eficienței energetice în cadrul clădirilor rezidențiale din Municipiul Craiova - CEERT L5.1</t>
  </si>
  <si>
    <t>Total cap. 70.02</t>
  </si>
  <si>
    <t>Cap. 80.02.  (Actiuni generale economice, comerciale si de munca)</t>
  </si>
  <si>
    <t>80.02.01.30</t>
  </si>
  <si>
    <t>A.R.C.A. - Accesibilitatea procedurilor administrative prin Reducerea birocratiei si digitizare pentru Cetatenii BANIEI</t>
  </si>
  <si>
    <t>48.02.02.01</t>
  </si>
  <si>
    <t>48.02.02.02</t>
  </si>
  <si>
    <t>CAMELOT: Cities And Metropolis in Europe Labouring Onward Together (Orașe și metropole in Europa lucrand mai departe impreuna)</t>
  </si>
  <si>
    <t>58.15.01</t>
  </si>
  <si>
    <t>58.15.02</t>
  </si>
  <si>
    <t>58.15.03</t>
  </si>
  <si>
    <t>48.02.15.01</t>
  </si>
  <si>
    <t>48.02.15.02</t>
  </si>
  <si>
    <t>Total cap. 80.02</t>
  </si>
  <si>
    <t>Cap. 84.02 (Transporturi)</t>
  </si>
  <si>
    <t>84.02.03.02</t>
  </si>
  <si>
    <t xml:space="preserve">Proiect Integrat de Modernizare a Sistemului de Transport Public  cu Tramvaiul In Municipiul Craiova - MOTRIC T1: Componenta Modernizarea caii de tramvai (in cale proprie) de pe str. Henry Ford in zona industriala Ford si Extinderea sistemului de management al traficului prin integrarea de noi intersectii sema-forizate cu functio-narea in regim adaptiv si sistem de comunicatii (Etapa 1, Faza 3); Componenta Extinderea sistemului de management al traficului prin integra-rea de noi intersectii semaforizate cu functionarea in regim adaptiv si sistem de comunicatii (Etapa 1, Faza 1 + Etapa 1, Faza 2); Componenta Modernizare depou si Modernizarea statiilor de redresare pentru alimentarea electrica a tramvaielor - Faza 1 - Modernizare statii de redresare si echipamente aferente </t>
  </si>
  <si>
    <t>Executie Statii redresare – 6 luni / 18 luni – 7.000 mii lei / 21.000 mii lei</t>
  </si>
  <si>
    <t>Modernizarea căii de tramvai (în cale proprie) de pe Calea Severinului, în zona industrială Cernele de Sus – Faza 1 si Faza 2</t>
  </si>
  <si>
    <t xml:space="preserve">Modernizare depou si Modernizarea statiilor de redresare pentru alimentarea electrica a tramvaielor - Faza 2 - Modernizare depou tramvaie </t>
  </si>
  <si>
    <t xml:space="preserve">Achiziţie de mijloace de transport public - tramvaie (25m, 17 buc, Craiova) - parteneriat MDRAP </t>
  </si>
  <si>
    <t xml:space="preserve">Proiect Integrat de Modernizare a Sistemului de Transport Public  cu Autobuzele  In Municipiul Craiova - MOTRIC A: Componenta Extinderea sistemului de management al traficului prin integrarea de noi intersectii semaforizate cu functionarea in regim adaptiv si sistem de comunicatii (Etapa 1, Faza 4) si Reorganizarea circulatiei in zona centrala (Etapa 2, Faza 4), Componenta Innoirea parcului de vehicule de trans-port public urban - Achizitia de autobuze noi - Faza 2 + Faza 3 + Faza 4 (16 buc) </t>
  </si>
  <si>
    <t>Innoirea parcului de vehicule de transport public urban - Achizitia de autobuze noi - Faza 1 (30 buc)</t>
  </si>
  <si>
    <t>84.02.03.01</t>
  </si>
  <si>
    <t>Sprijin la nivelul regiunii Sud- Vest Oltenia  pentru pregătirea de proiecte finanțate din  perioada de programare 2021-2027 pe domeniile mobilitate urbană, regenerare urbană, tabere școlare, infrastructura si servicii publice de turism și infrastructură rutieră de interes județean in vederea finantarii documentatiilor tehnico-economice aferente obiectivului de investitii „Amenajarea unui coridor de mobilitate urbană în zona de Nord-Est a municipiului Craiova, tronson Pasaj Gârlești – str. Mălinului˝</t>
  </si>
  <si>
    <t>Total cap. 84.02</t>
  </si>
  <si>
    <t>TOTAL GENERAL</t>
  </si>
  <si>
    <t>48.02.01.01 - Sume FEN primite in contul platilor efectuate in anul curent</t>
  </si>
  <si>
    <t>48.02.01.02 - Sume FEN primite in contul platilor efectuate in anii anteriori</t>
  </si>
  <si>
    <t>48.02.02.02 - Sume FEN primite in contul platilor efectuate in anii anteriori</t>
  </si>
  <si>
    <t>48.02.15.01 - Sume FEN primite in contul platilor efectuate in anul curent</t>
  </si>
  <si>
    <t>48.02.01.03 - Sume FEN Prefinantari</t>
  </si>
  <si>
    <t>TOTAL</t>
  </si>
  <si>
    <t>Creșterea siguranței pacienților în cadrul Spitalului Clinic Municipal Filantropia Craiova – Reabilitarea si extinderea instalatiei electrice, ventilare si tratare a aerului, fluide medicale; detectare, semnalizare si alarmare incendii in cazul depasirii concentratiei maxime de oxigen</t>
  </si>
  <si>
    <t xml:space="preserve"> Cresterea sigurantei pacientilor in cadrul Spitalului Clinic de Neuropsihiatrie Craiova – Reabilitarea si extinderea instalatiei electrice, de fluide medicale, sisteme de detectare, semnalizare si alarmare incendii si sisteme de detectare, semnalizare si alarmare in cazul depasirii concentratiei maxime admise de oxigen</t>
  </si>
  <si>
    <t>Influente Trim IV</t>
  </si>
  <si>
    <t xml:space="preserve">TRIM IV </t>
  </si>
  <si>
    <t xml:space="preserve">TRIM IV final </t>
  </si>
  <si>
    <t>Buget final 2022</t>
  </si>
  <si>
    <t>42.02.69 – Subvenţii de la bugetul de stat către bugetele locale necesare susţinerii derulării proiectelor finanţate din fonduri externe nerambursabile (FEN) postaderare aferente perioadei de programare 2014-2020****)</t>
  </si>
  <si>
    <t>RECTIFICARE BUGETARA PROIECTE CU FINANTARE DIN FONDURI EXTERNE NERAMBURSABILE POSTADERARE SEPTEMBRIE 2022</t>
  </si>
  <si>
    <t>Președinte de ședință,</t>
  </si>
  <si>
    <t>Lucian - Costin Dindirică</t>
  </si>
  <si>
    <t>Anexa nr. 68 la Hotărârea Consiliul Local nr. 468/29.09.2022</t>
  </si>
</sst>
</file>

<file path=xl/styles.xml><?xml version="1.0" encoding="utf-8"?>
<styleSheet xmlns="http://schemas.openxmlformats.org/spreadsheetml/2006/main">
  <numFmts count="1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52">
    <font>
      <sz val="11"/>
      <color indexed="8"/>
      <name val="Calibri"/>
      <family val="2"/>
    </font>
    <font>
      <sz val="10"/>
      <name val="Arial"/>
      <family val="0"/>
    </font>
    <font>
      <sz val="10"/>
      <name val="Trebuchet MS"/>
      <family val="2"/>
    </font>
    <font>
      <sz val="10"/>
      <color indexed="8"/>
      <name val="Trebuchet MS"/>
      <family val="2"/>
    </font>
    <font>
      <b/>
      <sz val="10"/>
      <name val="Trebuchet MS"/>
      <family val="2"/>
    </font>
    <font>
      <b/>
      <sz val="10"/>
      <color indexed="8"/>
      <name val="Trebuchet MS"/>
      <family val="2"/>
    </font>
    <font>
      <b/>
      <sz val="10"/>
      <name val="Arial"/>
      <family val="2"/>
    </font>
    <font>
      <b/>
      <sz val="10"/>
      <color indexed="9"/>
      <name val="Trebuchet MS"/>
      <family val="2"/>
    </font>
    <font>
      <b/>
      <sz val="10"/>
      <color indexed="8"/>
      <name val="Arial"/>
      <family val="2"/>
    </font>
    <font>
      <sz val="10"/>
      <color indexed="9"/>
      <name val="Trebuchet MS"/>
      <family val="2"/>
    </font>
    <font>
      <sz val="10"/>
      <color indexed="12"/>
      <name val="Trebuchet MS"/>
      <family val="2"/>
    </font>
    <font>
      <b/>
      <i/>
      <sz val="10"/>
      <name val="Trebuchet MS"/>
      <family val="2"/>
    </font>
    <font>
      <b/>
      <i/>
      <sz val="10"/>
      <color indexed="8"/>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11"/>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i/>
      <sz val="10"/>
      <color theme="1"/>
      <name val="Trebuchet MS"/>
      <family val="2"/>
    </font>
    <font>
      <sz val="10"/>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44" fontId="1" fillId="0" borderId="0" applyFill="0" applyBorder="0" applyAlignment="0" applyProtection="0"/>
    <xf numFmtId="42" fontId="1" fillId="0" borderId="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1"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43" fontId="1" fillId="0" borderId="0" applyFill="0" applyBorder="0" applyAlignment="0" applyProtection="0"/>
    <xf numFmtId="41" fontId="1" fillId="0" borderId="0" applyFill="0" applyBorder="0" applyAlignment="0" applyProtection="0"/>
  </cellStyleXfs>
  <cellXfs count="137">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1" fillId="0" borderId="0" xfId="0" applyFont="1" applyFill="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right" wrapText="1"/>
    </xf>
    <xf numFmtId="172" fontId="2" fillId="0" borderId="0" xfId="0" applyNumberFormat="1" applyFont="1" applyFill="1" applyAlignment="1">
      <alignment horizontal="right"/>
    </xf>
    <xf numFmtId="0" fontId="4" fillId="0" borderId="0" xfId="0" applyFont="1" applyFill="1" applyBorder="1" applyAlignment="1">
      <alignment horizontal="left" wrapText="1"/>
    </xf>
    <xf numFmtId="0" fontId="2" fillId="0" borderId="0" xfId="0" applyFont="1" applyFill="1" applyAlignment="1">
      <alignment vertical="center" wrapText="1"/>
    </xf>
    <xf numFmtId="0" fontId="4" fillId="0" borderId="0" xfId="0" applyFont="1" applyFill="1" applyBorder="1" applyAlignment="1">
      <alignment horizontal="center" wrapText="1"/>
    </xf>
    <xf numFmtId="0" fontId="2" fillId="0" borderId="0" xfId="0" applyFont="1" applyFill="1" applyAlignment="1">
      <alignment wrapText="1"/>
    </xf>
    <xf numFmtId="49" fontId="4" fillId="0" borderId="0" xfId="0" applyNumberFormat="1" applyFont="1" applyFill="1" applyAlignment="1">
      <alignment horizontal="center"/>
    </xf>
    <xf numFmtId="0" fontId="4" fillId="0" borderId="0" xfId="0" applyFont="1" applyFill="1" applyAlignment="1">
      <alignment horizont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xf>
    <xf numFmtId="0" fontId="6" fillId="0" borderId="0" xfId="0" applyFont="1" applyFill="1" applyAlignment="1">
      <alignment/>
    </xf>
    <xf numFmtId="0" fontId="4" fillId="0" borderId="10" xfId="0" applyFont="1" applyFill="1" applyBorder="1" applyAlignment="1">
      <alignment vertical="center" wrapText="1"/>
    </xf>
    <xf numFmtId="0" fontId="7" fillId="0" borderId="0" xfId="0" applyFont="1" applyFill="1" applyAlignment="1">
      <alignment/>
    </xf>
    <xf numFmtId="3" fontId="4" fillId="0" borderId="10" xfId="0" applyNumberFormat="1" applyFont="1" applyFill="1" applyBorder="1" applyAlignment="1">
      <alignmen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0" fontId="2" fillId="0" borderId="10" xfId="0" applyFont="1" applyFill="1" applyBorder="1" applyAlignment="1">
      <alignment horizontal="right" vertical="center" wrapText="1"/>
    </xf>
    <xf numFmtId="3" fontId="2" fillId="0"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xf>
    <xf numFmtId="49"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wrapText="1"/>
    </xf>
    <xf numFmtId="3" fontId="4" fillId="0" borderId="10" xfId="0" applyNumberFormat="1" applyFont="1" applyFill="1" applyBorder="1" applyAlignment="1">
      <alignment horizontal="right" vertical="center"/>
    </xf>
    <xf numFmtId="49" fontId="3" fillId="0" borderId="10" xfId="0" applyNumberFormat="1" applyFont="1" applyFill="1" applyBorder="1" applyAlignment="1">
      <alignment horizontal="right" vertical="center" wrapText="1"/>
    </xf>
    <xf numFmtId="0" fontId="5" fillId="0" borderId="10" xfId="0" applyFont="1" applyFill="1" applyBorder="1" applyAlignment="1">
      <alignment vertical="center" wrapText="1"/>
    </xf>
    <xf numFmtId="3" fontId="3" fillId="0" borderId="10" xfId="0" applyNumberFormat="1" applyFont="1" applyFill="1" applyBorder="1" applyAlignment="1">
      <alignment vertical="center" wrapText="1"/>
    </xf>
    <xf numFmtId="0" fontId="8" fillId="0" borderId="0" xfId="0" applyFont="1" applyFill="1" applyAlignment="1">
      <alignment/>
    </xf>
    <xf numFmtId="3" fontId="2" fillId="33"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3" fontId="3"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xf>
    <xf numFmtId="3" fontId="3" fillId="0" borderId="10" xfId="0" applyNumberFormat="1" applyFont="1" applyFill="1" applyBorder="1" applyAlignment="1">
      <alignment horizontal="right" vertical="center"/>
    </xf>
    <xf numFmtId="0" fontId="4" fillId="0" borderId="0" xfId="0" applyFont="1" applyFill="1" applyAlignment="1">
      <alignment horizontal="left" vertical="center" wrapText="1"/>
    </xf>
    <xf numFmtId="0" fontId="4" fillId="0" borderId="10" xfId="0" applyFont="1" applyFill="1" applyBorder="1" applyAlignment="1">
      <alignment horizontal="left" vertical="center" wrapText="1"/>
    </xf>
    <xf numFmtId="3" fontId="3" fillId="0" borderId="10" xfId="0" applyNumberFormat="1" applyFont="1" applyFill="1" applyBorder="1" applyAlignment="1">
      <alignment/>
    </xf>
    <xf numFmtId="3" fontId="3" fillId="33" borderId="10" xfId="0" applyNumberFormat="1" applyFont="1" applyFill="1" applyBorder="1" applyAlignment="1">
      <alignment horizontal="right" vertical="center" wrapText="1"/>
    </xf>
    <xf numFmtId="3" fontId="0" fillId="0" borderId="10" xfId="0" applyNumberFormat="1" applyFill="1" applyBorder="1" applyAlignment="1">
      <alignment vertical="center"/>
    </xf>
    <xf numFmtId="3" fontId="2" fillId="33" borderId="10" xfId="0" applyNumberFormat="1" applyFont="1" applyFill="1" applyBorder="1" applyAlignment="1">
      <alignment horizontal="right" vertical="center" wrapText="1"/>
    </xf>
    <xf numFmtId="0" fontId="4" fillId="0" borderId="1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3" fontId="2" fillId="0" borderId="10" xfId="0" applyNumberFormat="1" applyFont="1" applyFill="1" applyBorder="1" applyAlignment="1">
      <alignment vertical="center" wrapText="1"/>
    </xf>
    <xf numFmtId="0" fontId="3" fillId="0" borderId="0" xfId="0" applyFont="1" applyFill="1" applyAlignment="1">
      <alignment vertical="center"/>
    </xf>
    <xf numFmtId="0" fontId="9" fillId="0" borderId="0" xfId="0" applyFont="1" applyFill="1" applyAlignment="1">
      <alignment vertical="center"/>
    </xf>
    <xf numFmtId="3" fontId="5" fillId="0" borderId="10" xfId="0" applyNumberFormat="1" applyFont="1" applyFill="1" applyBorder="1" applyAlignment="1">
      <alignment vertical="center" wrapText="1"/>
    </xf>
    <xf numFmtId="0" fontId="5"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xf>
    <xf numFmtId="3" fontId="3"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3" fontId="3" fillId="33" borderId="10" xfId="0" applyNumberFormat="1" applyFont="1" applyFill="1" applyBorder="1" applyAlignment="1">
      <alignment vertical="center" wrapText="1"/>
    </xf>
    <xf numFmtId="0" fontId="3" fillId="0" borderId="0" xfId="0" applyFont="1" applyFill="1" applyAlignment="1">
      <alignment vertical="center"/>
    </xf>
    <xf numFmtId="0" fontId="3" fillId="0" borderId="0" xfId="0" applyFont="1" applyFill="1" applyAlignment="1">
      <alignment/>
    </xf>
    <xf numFmtId="3" fontId="2" fillId="0" borderId="0" xfId="0" applyNumberFormat="1" applyFont="1" applyFill="1" applyAlignment="1">
      <alignment vertical="center"/>
    </xf>
    <xf numFmtId="3" fontId="2" fillId="0" borderId="0" xfId="0" applyNumberFormat="1" applyFont="1" applyFill="1" applyAlignment="1">
      <alignment vertical="center"/>
    </xf>
    <xf numFmtId="3" fontId="3" fillId="0" borderId="0" xfId="0" applyNumberFormat="1" applyFont="1" applyFill="1" applyAlignment="1">
      <alignment vertical="center"/>
    </xf>
    <xf numFmtId="3" fontId="9" fillId="0" borderId="0" xfId="0" applyNumberFormat="1" applyFont="1" applyFill="1" applyAlignment="1">
      <alignment vertical="center"/>
    </xf>
    <xf numFmtId="3" fontId="4" fillId="0" borderId="10" xfId="0" applyNumberFormat="1" applyFont="1" applyFill="1" applyBorder="1" applyAlignment="1">
      <alignment vertical="center" wrapText="1"/>
    </xf>
    <xf numFmtId="3" fontId="5" fillId="0" borderId="0" xfId="0" applyNumberFormat="1" applyFont="1" applyFill="1" applyAlignment="1">
      <alignment vertical="center"/>
    </xf>
    <xf numFmtId="3" fontId="7" fillId="0" borderId="0" xfId="0" applyNumberFormat="1" applyFont="1" applyFill="1" applyAlignment="1">
      <alignment vertical="center"/>
    </xf>
    <xf numFmtId="3" fontId="4" fillId="0" borderId="0" xfId="0" applyNumberFormat="1" applyFont="1" applyFill="1" applyAlignment="1">
      <alignment vertical="center"/>
    </xf>
    <xf numFmtId="3" fontId="3" fillId="0" borderId="0" xfId="0" applyNumberFormat="1" applyFont="1" applyFill="1" applyAlignment="1">
      <alignment vertical="center"/>
    </xf>
    <xf numFmtId="49"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3" fontId="5" fillId="0" borderId="10" xfId="0" applyNumberFormat="1" applyFont="1" applyFill="1" applyBorder="1" applyAlignment="1">
      <alignment vertical="center" wrapText="1"/>
    </xf>
    <xf numFmtId="0" fontId="4" fillId="0" borderId="10" xfId="0" applyFont="1" applyFill="1" applyBorder="1" applyAlignment="1">
      <alignment horizontal="left" vertical="center" wrapText="1"/>
    </xf>
    <xf numFmtId="3" fontId="2" fillId="33" borderId="10" xfId="0" applyNumberFormat="1" applyFont="1" applyFill="1" applyBorder="1" applyAlignment="1">
      <alignment vertical="center" wrapText="1"/>
    </xf>
    <xf numFmtId="3" fontId="2"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5" fillId="0" borderId="0" xfId="0" applyFont="1" applyFill="1" applyAlignment="1">
      <alignment horizontal="center" vertical="center"/>
    </xf>
    <xf numFmtId="3" fontId="2" fillId="0" borderId="10" xfId="0" applyNumberFormat="1" applyFont="1" applyFill="1" applyBorder="1" applyAlignment="1">
      <alignment vertical="center"/>
    </xf>
    <xf numFmtId="3" fontId="10" fillId="0" borderId="10" xfId="0" applyNumberFormat="1" applyFont="1" applyFill="1" applyBorder="1" applyAlignment="1">
      <alignment vertical="center" wrapText="1"/>
    </xf>
    <xf numFmtId="0" fontId="0" fillId="0" borderId="10" xfId="0" applyFill="1" applyBorder="1" applyAlignment="1">
      <alignment/>
    </xf>
    <xf numFmtId="0" fontId="3" fillId="0" borderId="0" xfId="0" applyFont="1" applyFill="1" applyAlignment="1">
      <alignment horizontal="right" vertical="center"/>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3" fillId="0" borderId="0" xfId="0" applyNumberFormat="1" applyFont="1" applyFill="1" applyAlignment="1">
      <alignment/>
    </xf>
    <xf numFmtId="0" fontId="2" fillId="0" borderId="10" xfId="0" applyFont="1" applyFill="1" applyBorder="1" applyAlignment="1">
      <alignment/>
    </xf>
    <xf numFmtId="49" fontId="11" fillId="0" borderId="10" xfId="0" applyNumberFormat="1" applyFont="1" applyFill="1" applyBorder="1" applyAlignment="1">
      <alignment horizontal="right" vertical="center" wrapText="1"/>
    </xf>
    <xf numFmtId="3" fontId="12" fillId="0" borderId="10" xfId="0" applyNumberFormat="1" applyFont="1" applyFill="1" applyBorder="1" applyAlignment="1">
      <alignment vertical="center"/>
    </xf>
    <xf numFmtId="3" fontId="5" fillId="0" borderId="0" xfId="0" applyNumberFormat="1" applyFont="1" applyFill="1" applyAlignment="1">
      <alignment vertical="center"/>
    </xf>
    <xf numFmtId="49" fontId="11" fillId="0" borderId="10" xfId="0" applyNumberFormat="1" applyFont="1" applyFill="1" applyBorder="1" applyAlignment="1">
      <alignment horizontal="right" vertical="center"/>
    </xf>
    <xf numFmtId="0" fontId="2" fillId="0" borderId="10" xfId="0" applyFont="1" applyFill="1" applyBorder="1" applyAlignment="1">
      <alignment/>
    </xf>
    <xf numFmtId="0" fontId="4" fillId="0" borderId="10" xfId="0" applyFont="1" applyFill="1" applyBorder="1" applyAlignment="1">
      <alignment horizontal="center"/>
    </xf>
    <xf numFmtId="3" fontId="12" fillId="0" borderId="10" xfId="0" applyNumberFormat="1" applyFont="1" applyFill="1" applyBorder="1" applyAlignment="1">
      <alignment horizontal="right"/>
    </xf>
    <xf numFmtId="0" fontId="9" fillId="0" borderId="0" xfId="0" applyFont="1" applyFill="1" applyAlignment="1">
      <alignment/>
    </xf>
    <xf numFmtId="0" fontId="2" fillId="0" borderId="0" xfId="0" applyFont="1" applyFill="1" applyBorder="1" applyAlignment="1">
      <alignment/>
    </xf>
    <xf numFmtId="0" fontId="4" fillId="0" borderId="0" xfId="0" applyFont="1" applyFill="1" applyBorder="1" applyAlignment="1">
      <alignment horizontal="center"/>
    </xf>
    <xf numFmtId="3" fontId="12" fillId="0" borderId="0" xfId="0" applyNumberFormat="1" applyFont="1" applyFill="1" applyBorder="1" applyAlignment="1">
      <alignment horizontal="right"/>
    </xf>
    <xf numFmtId="0" fontId="11" fillId="0" borderId="0" xfId="0" applyFont="1" applyFill="1" applyBorder="1" applyAlignment="1">
      <alignment horizontal="center" vertical="center"/>
    </xf>
    <xf numFmtId="3" fontId="2" fillId="0" borderId="0" xfId="0" applyNumberFormat="1" applyFont="1" applyFill="1" applyAlignment="1">
      <alignment/>
    </xf>
    <xf numFmtId="0" fontId="5" fillId="0" borderId="0" xfId="0" applyFont="1" applyFill="1" applyAlignment="1">
      <alignment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3" fontId="50" fillId="0" borderId="10" xfId="0" applyNumberFormat="1" applyFont="1" applyFill="1" applyBorder="1" applyAlignment="1">
      <alignment vertical="center"/>
    </xf>
    <xf numFmtId="0" fontId="2" fillId="0" borderId="10" xfId="0" applyFont="1" applyFill="1" applyBorder="1" applyAlignment="1">
      <alignment wrapText="1"/>
    </xf>
    <xf numFmtId="0" fontId="4" fillId="0" borderId="10" xfId="0" applyFont="1" applyFill="1" applyBorder="1" applyAlignment="1">
      <alignment/>
    </xf>
    <xf numFmtId="0" fontId="5" fillId="0" borderId="10" xfId="0" applyFont="1" applyFill="1" applyBorder="1" applyAlignment="1">
      <alignment/>
    </xf>
    <xf numFmtId="0" fontId="2" fillId="0" borderId="10" xfId="0" applyFont="1" applyFill="1" applyBorder="1" applyAlignment="1">
      <alignment vertical="center"/>
    </xf>
    <xf numFmtId="0" fontId="4" fillId="0" borderId="10" xfId="0" applyFont="1" applyFill="1" applyBorder="1" applyAlignment="1">
      <alignment vertical="center"/>
    </xf>
    <xf numFmtId="0" fontId="3" fillId="0" borderId="10" xfId="0" applyFont="1" applyFill="1" applyBorder="1" applyAlignment="1">
      <alignment vertical="center"/>
    </xf>
    <xf numFmtId="3" fontId="51" fillId="0" borderId="10" xfId="0" applyNumberFormat="1" applyFont="1" applyFill="1" applyBorder="1" applyAlignment="1">
      <alignment vertical="center" wrapText="1"/>
    </xf>
    <xf numFmtId="0" fontId="4" fillId="0" borderId="0" xfId="0" applyFont="1" applyFill="1" applyBorder="1" applyAlignment="1">
      <alignment wrapText="1"/>
    </xf>
    <xf numFmtId="0" fontId="4" fillId="0" borderId="10" xfId="0" applyFont="1" applyFill="1" applyBorder="1" applyAlignment="1">
      <alignment vertical="center" wrapText="1"/>
    </xf>
    <xf numFmtId="0" fontId="2" fillId="0" borderId="10" xfId="0" applyFont="1" applyFill="1" applyBorder="1" applyAlignment="1">
      <alignment horizontal="left" vertical="top" wrapText="1"/>
    </xf>
    <xf numFmtId="0" fontId="2" fillId="0" borderId="10" xfId="0" applyFont="1" applyFill="1" applyBorder="1" applyAlignment="1">
      <alignment horizontal="left" vertical="center" wrapText="1"/>
    </xf>
    <xf numFmtId="3"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horizontal="left" vertical="top" wrapText="1"/>
    </xf>
    <xf numFmtId="0" fontId="4" fillId="0" borderId="10" xfId="0" applyFont="1" applyFill="1" applyBorder="1" applyAlignment="1">
      <alignment horizontal="right" vertical="center" wrapText="1"/>
    </xf>
    <xf numFmtId="0" fontId="4" fillId="0" borderId="10" xfId="0" applyFont="1" applyFill="1" applyBorder="1" applyAlignment="1">
      <alignment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vertical="center" wrapText="1"/>
    </xf>
    <xf numFmtId="0" fontId="6" fillId="0" borderId="0" xfId="0" applyFont="1" applyFill="1" applyBorder="1" applyAlignment="1">
      <alignment horizontal="center"/>
    </xf>
    <xf numFmtId="0" fontId="4"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360"/>
  <sheetViews>
    <sheetView tabSelected="1" zoomScaleSheetLayoutView="89" zoomScalePageLayoutView="0" workbookViewId="0" topLeftCell="A1">
      <selection activeCell="F2" sqref="F2"/>
    </sheetView>
  </sheetViews>
  <sheetFormatPr defaultColWidth="11.57421875" defaultRowHeight="15"/>
  <cols>
    <col min="1" max="1" width="13.140625" style="1" customWidth="1"/>
    <col min="2" max="2" width="76.7109375" style="1" customWidth="1"/>
    <col min="3" max="3" width="15.8515625" style="1" customWidth="1"/>
    <col min="4" max="4" width="7.57421875" style="1" customWidth="1"/>
    <col min="5" max="5" width="8.8515625" style="1" customWidth="1"/>
    <col min="6" max="6" width="9.00390625" style="1" customWidth="1"/>
    <col min="7" max="9" width="9.140625" style="1" customWidth="1"/>
    <col min="10" max="10" width="15.8515625" style="1" customWidth="1"/>
    <col min="11" max="11" width="11.28125" style="2" customWidth="1"/>
    <col min="12" max="13" width="9.00390625" style="1" customWidth="1"/>
    <col min="14" max="14" width="13.7109375" style="1" customWidth="1"/>
    <col min="15" max="15" width="10.28125" style="1" customWidth="1"/>
    <col min="16" max="16" width="12.8515625" style="1" customWidth="1"/>
    <col min="17" max="244" width="9.00390625" style="1" customWidth="1"/>
    <col min="245" max="254" width="9.140625" style="3" customWidth="1"/>
    <col min="255" max="16384" width="11.57421875" style="4" customWidth="1"/>
  </cols>
  <sheetData>
    <row r="1" spans="1:255" s="1" customFormat="1" ht="19.5" customHeight="1">
      <c r="A1" s="5" t="s">
        <v>0</v>
      </c>
      <c r="B1" s="6"/>
      <c r="C1" s="7"/>
      <c r="F1" s="1" t="s">
        <v>99</v>
      </c>
      <c r="J1" s="7"/>
      <c r="IG1" s="3"/>
      <c r="IH1" s="3"/>
      <c r="II1" s="3"/>
      <c r="IJ1" s="3"/>
      <c r="IK1"/>
      <c r="IL1"/>
      <c r="IM1"/>
      <c r="IN1"/>
      <c r="IO1"/>
      <c r="IP1"/>
      <c r="IQ1"/>
      <c r="IR1"/>
      <c r="IS1"/>
      <c r="IT1"/>
      <c r="IU1"/>
    </row>
    <row r="2" spans="1:255" s="1" customFormat="1" ht="18" customHeight="1">
      <c r="A2" s="122" t="s">
        <v>1</v>
      </c>
      <c r="B2" s="122"/>
      <c r="C2" s="7"/>
      <c r="J2" s="7"/>
      <c r="IG2" s="3"/>
      <c r="IH2" s="3"/>
      <c r="II2" s="3"/>
      <c r="IJ2" s="3"/>
      <c r="IK2"/>
      <c r="IL2"/>
      <c r="IM2"/>
      <c r="IN2"/>
      <c r="IO2"/>
      <c r="IP2"/>
      <c r="IQ2"/>
      <c r="IR2"/>
      <c r="IS2"/>
      <c r="IT2"/>
      <c r="IU2"/>
    </row>
    <row r="3" spans="1:255" s="1" customFormat="1" ht="17.25" customHeight="1">
      <c r="A3" s="122" t="s">
        <v>2</v>
      </c>
      <c r="B3" s="122"/>
      <c r="C3" s="122"/>
      <c r="IG3" s="3"/>
      <c r="IH3" s="3"/>
      <c r="II3" s="3"/>
      <c r="IJ3" s="3"/>
      <c r="IK3"/>
      <c r="IL3"/>
      <c r="IM3"/>
      <c r="IN3"/>
      <c r="IO3"/>
      <c r="IP3"/>
      <c r="IQ3"/>
      <c r="IR3"/>
      <c r="IS3"/>
      <c r="IT3"/>
      <c r="IU3"/>
    </row>
    <row r="4" spans="1:10" ht="15.75" customHeight="1">
      <c r="A4" s="8"/>
      <c r="B4" s="8"/>
      <c r="C4" s="7"/>
      <c r="D4" s="9"/>
      <c r="E4" s="9"/>
      <c r="F4" s="9"/>
      <c r="J4" s="7"/>
    </row>
    <row r="5" spans="1:10" ht="16.5" customHeight="1">
      <c r="A5" s="136" t="s">
        <v>96</v>
      </c>
      <c r="B5" s="136"/>
      <c r="C5" s="136"/>
      <c r="D5" s="136"/>
      <c r="E5" s="136"/>
      <c r="F5" s="136"/>
      <c r="G5" s="136"/>
      <c r="H5" s="136"/>
      <c r="I5" s="136"/>
      <c r="J5" s="136"/>
    </row>
    <row r="6" spans="1:10" ht="16.5" customHeight="1">
      <c r="A6" s="10"/>
      <c r="B6" s="10"/>
      <c r="C6" s="10"/>
      <c r="D6" s="10"/>
      <c r="E6" s="10"/>
      <c r="F6" s="10"/>
      <c r="G6" s="10"/>
      <c r="I6" s="10"/>
      <c r="J6" s="10"/>
    </row>
    <row r="7" spans="1:10" ht="15.75" customHeight="1">
      <c r="A7" s="11"/>
      <c r="B7" s="12"/>
      <c r="C7" s="13"/>
      <c r="D7" s="9"/>
      <c r="E7" s="9"/>
      <c r="F7" s="9"/>
      <c r="G7" s="13"/>
      <c r="I7" s="13"/>
      <c r="J7" s="13" t="s">
        <v>3</v>
      </c>
    </row>
    <row r="8" spans="1:249" s="18" customFormat="1" ht="30.75" customHeight="1">
      <c r="A8" s="14" t="s">
        <v>4</v>
      </c>
      <c r="B8" s="15" t="s">
        <v>5</v>
      </c>
      <c r="C8" s="14" t="s">
        <v>6</v>
      </c>
      <c r="D8" s="16" t="s">
        <v>7</v>
      </c>
      <c r="E8" s="16" t="s">
        <v>8</v>
      </c>
      <c r="F8" s="16" t="s">
        <v>9</v>
      </c>
      <c r="G8" s="17" t="s">
        <v>92</v>
      </c>
      <c r="H8" s="115" t="s">
        <v>91</v>
      </c>
      <c r="I8" s="112" t="s">
        <v>93</v>
      </c>
      <c r="J8" s="113" t="s">
        <v>94</v>
      </c>
      <c r="K8" s="111"/>
      <c r="IK8" s="20"/>
      <c r="IL8" s="20"/>
      <c r="IM8" s="20"/>
      <c r="IN8" s="20"/>
      <c r="IO8" s="20"/>
    </row>
    <row r="9" spans="1:249" s="18" customFormat="1" ht="19.5" customHeight="1">
      <c r="A9" s="123" t="s">
        <v>10</v>
      </c>
      <c r="B9" s="123"/>
      <c r="C9" s="123"/>
      <c r="D9" s="14"/>
      <c r="E9" s="14"/>
      <c r="F9" s="14"/>
      <c r="G9" s="15"/>
      <c r="H9" s="116"/>
      <c r="I9" s="15"/>
      <c r="J9" s="15"/>
      <c r="K9" s="19"/>
      <c r="L9" s="22"/>
      <c r="M9" s="22"/>
      <c r="IK9" s="20"/>
      <c r="IL9" s="20"/>
      <c r="IM9" s="20"/>
      <c r="IN9" s="20"/>
      <c r="IO9" s="20"/>
    </row>
    <row r="10" spans="1:249" s="18" customFormat="1" ht="44.25" customHeight="1">
      <c r="A10" s="21" t="s">
        <v>11</v>
      </c>
      <c r="B10" s="21" t="s">
        <v>12</v>
      </c>
      <c r="C10" s="23">
        <f>C11+C12+C13</f>
        <v>1764</v>
      </c>
      <c r="D10" s="24">
        <f>D11+D12+D13</f>
        <v>10</v>
      </c>
      <c r="E10" s="24">
        <f>E11+E12+E13</f>
        <v>94</v>
      </c>
      <c r="F10" s="24">
        <f>F11+F12+F13</f>
        <v>830</v>
      </c>
      <c r="G10" s="25">
        <f>G11+G12+G13</f>
        <v>830</v>
      </c>
      <c r="H10" s="116">
        <v>0</v>
      </c>
      <c r="I10" s="25">
        <f>I11+I12+I13</f>
        <v>830</v>
      </c>
      <c r="J10" s="23">
        <v>1764</v>
      </c>
      <c r="K10" s="19"/>
      <c r="L10" s="22"/>
      <c r="M10" s="22"/>
      <c r="IK10" s="20"/>
      <c r="IL10" s="20"/>
      <c r="IM10" s="20"/>
      <c r="IN10" s="20"/>
      <c r="IO10" s="20"/>
    </row>
    <row r="11" spans="1:249" s="18" customFormat="1" ht="15.75" customHeight="1">
      <c r="A11" s="26" t="s">
        <v>13</v>
      </c>
      <c r="B11" s="124"/>
      <c r="C11" s="27">
        <f>D11+E11+F11+G11</f>
        <v>240</v>
      </c>
      <c r="D11" s="28">
        <v>2</v>
      </c>
      <c r="E11" s="28">
        <v>14</v>
      </c>
      <c r="F11" s="28">
        <v>112</v>
      </c>
      <c r="G11" s="29">
        <v>112</v>
      </c>
      <c r="H11" s="116">
        <v>0</v>
      </c>
      <c r="I11" s="29">
        <v>112</v>
      </c>
      <c r="J11" s="27">
        <v>240</v>
      </c>
      <c r="K11" s="19"/>
      <c r="L11" s="22"/>
      <c r="M11" s="22"/>
      <c r="IK11" s="20"/>
      <c r="IL11" s="20"/>
      <c r="IM11" s="20"/>
      <c r="IN11" s="20"/>
      <c r="IO11" s="20"/>
    </row>
    <row r="12" spans="1:249" s="18" customFormat="1" ht="16.5" customHeight="1">
      <c r="A12" s="30" t="s">
        <v>14</v>
      </c>
      <c r="B12" s="124"/>
      <c r="C12" s="27">
        <f>D12+E12+F12+G12</f>
        <v>1364</v>
      </c>
      <c r="D12" s="28">
        <v>8</v>
      </c>
      <c r="E12" s="28">
        <v>80</v>
      </c>
      <c r="F12" s="28">
        <v>638</v>
      </c>
      <c r="G12" s="29">
        <v>638</v>
      </c>
      <c r="H12" s="116">
        <v>0</v>
      </c>
      <c r="I12" s="29">
        <v>638</v>
      </c>
      <c r="J12" s="27">
        <v>1364</v>
      </c>
      <c r="K12" s="19"/>
      <c r="L12" s="22"/>
      <c r="M12" s="22"/>
      <c r="IK12" s="20"/>
      <c r="IL12" s="20"/>
      <c r="IM12" s="20"/>
      <c r="IN12" s="20"/>
      <c r="IO12" s="20"/>
    </row>
    <row r="13" spans="1:249" s="18" customFormat="1" ht="15.75" customHeight="1">
      <c r="A13" s="30" t="s">
        <v>15</v>
      </c>
      <c r="B13" s="124"/>
      <c r="C13" s="27">
        <f>D13+E13+F13+G13</f>
        <v>160</v>
      </c>
      <c r="D13" s="28">
        <v>0</v>
      </c>
      <c r="E13" s="28">
        <v>0</v>
      </c>
      <c r="F13" s="28">
        <v>80</v>
      </c>
      <c r="G13" s="29">
        <v>80</v>
      </c>
      <c r="H13" s="116">
        <v>0</v>
      </c>
      <c r="I13" s="29">
        <v>80</v>
      </c>
      <c r="J13" s="27">
        <v>160</v>
      </c>
      <c r="K13" s="19"/>
      <c r="L13" s="22"/>
      <c r="M13" s="22"/>
      <c r="IK13" s="20"/>
      <c r="IL13" s="20"/>
      <c r="IM13" s="20"/>
      <c r="IN13" s="20"/>
      <c r="IO13" s="20"/>
    </row>
    <row r="14" spans="1:249" s="18" customFormat="1" ht="18" customHeight="1" hidden="1">
      <c r="A14" s="30"/>
      <c r="B14" s="21"/>
      <c r="C14" s="27"/>
      <c r="D14" s="28"/>
      <c r="E14" s="28"/>
      <c r="F14" s="28"/>
      <c r="G14" s="29"/>
      <c r="H14" s="116"/>
      <c r="I14" s="29"/>
      <c r="J14" s="27"/>
      <c r="K14" s="19"/>
      <c r="L14" s="22"/>
      <c r="M14" s="22"/>
      <c r="IK14" s="20"/>
      <c r="IL14" s="20"/>
      <c r="IM14" s="20"/>
      <c r="IN14" s="20"/>
      <c r="IO14" s="20"/>
    </row>
    <row r="15" spans="1:249" s="18" customFormat="1" ht="18" customHeight="1" hidden="1">
      <c r="A15" s="31"/>
      <c r="B15" s="21"/>
      <c r="C15" s="23">
        <f>C16+C17+C18+C19</f>
        <v>1764</v>
      </c>
      <c r="D15" s="32">
        <f>D16+D17+D18+D19</f>
        <v>10</v>
      </c>
      <c r="E15" s="32">
        <f>E16+E17+E18+E19</f>
        <v>94</v>
      </c>
      <c r="F15" s="32">
        <f>F16+F17+F18+F19</f>
        <v>830</v>
      </c>
      <c r="G15" s="33">
        <f>G16+G17+G18+G19</f>
        <v>830</v>
      </c>
      <c r="H15" s="116"/>
      <c r="I15" s="33">
        <f>I16+I17+I18+I19</f>
        <v>830</v>
      </c>
      <c r="J15" s="23">
        <v>1764</v>
      </c>
      <c r="K15" s="19"/>
      <c r="L15" s="22"/>
      <c r="M15" s="22"/>
      <c r="IK15" s="20"/>
      <c r="IL15" s="20"/>
      <c r="IM15" s="20"/>
      <c r="IN15" s="20"/>
      <c r="IO15" s="20"/>
    </row>
    <row r="16" spans="1:249" s="18" customFormat="1" ht="17.25" customHeight="1" hidden="1">
      <c r="A16" s="30" t="s">
        <v>16</v>
      </c>
      <c r="B16" s="21"/>
      <c r="C16" s="27">
        <f>D16+E16+F16+G16</f>
        <v>209</v>
      </c>
      <c r="D16" s="28">
        <v>1</v>
      </c>
      <c r="E16" s="28">
        <v>12</v>
      </c>
      <c r="F16" s="28">
        <v>98</v>
      </c>
      <c r="G16" s="28">
        <v>98</v>
      </c>
      <c r="H16" s="116"/>
      <c r="I16" s="28">
        <v>98</v>
      </c>
      <c r="J16" s="27">
        <v>209</v>
      </c>
      <c r="K16" s="19"/>
      <c r="L16" s="22"/>
      <c r="M16" s="22"/>
      <c r="IK16" s="20"/>
      <c r="IL16" s="20"/>
      <c r="IM16" s="20"/>
      <c r="IN16" s="20"/>
      <c r="IO16" s="20"/>
    </row>
    <row r="17" spans="1:249" s="18" customFormat="1" ht="18" customHeight="1" hidden="1">
      <c r="A17" s="30" t="s">
        <v>17</v>
      </c>
      <c r="B17" s="21"/>
      <c r="C17" s="27">
        <f>D17+E17+F17+G17</f>
        <v>1363</v>
      </c>
      <c r="D17" s="28">
        <v>9</v>
      </c>
      <c r="E17" s="28">
        <v>80</v>
      </c>
      <c r="F17" s="28">
        <v>637</v>
      </c>
      <c r="G17" s="28">
        <v>637</v>
      </c>
      <c r="H17" s="116"/>
      <c r="I17" s="28">
        <v>637</v>
      </c>
      <c r="J17" s="27">
        <v>1363</v>
      </c>
      <c r="K17" s="19"/>
      <c r="L17" s="22"/>
      <c r="M17" s="19"/>
      <c r="IK17" s="20"/>
      <c r="IL17" s="20"/>
      <c r="IM17" s="20"/>
      <c r="IN17" s="20"/>
      <c r="IO17" s="20"/>
    </row>
    <row r="18" spans="1:249" s="19" customFormat="1" ht="18" customHeight="1" hidden="1">
      <c r="A18" s="34" t="s">
        <v>18</v>
      </c>
      <c r="B18" s="35"/>
      <c r="C18" s="36">
        <f>D18+E18+F18+G18</f>
        <v>0</v>
      </c>
      <c r="D18" s="28">
        <v>0</v>
      </c>
      <c r="E18" s="28">
        <v>0</v>
      </c>
      <c r="F18" s="28">
        <v>0</v>
      </c>
      <c r="G18" s="29">
        <v>0</v>
      </c>
      <c r="H18" s="117"/>
      <c r="I18" s="29">
        <v>0</v>
      </c>
      <c r="J18" s="36">
        <v>0</v>
      </c>
      <c r="IK18" s="37"/>
      <c r="IL18" s="37"/>
      <c r="IM18" s="37"/>
      <c r="IN18" s="37"/>
      <c r="IO18" s="37"/>
    </row>
    <row r="19" spans="1:249" s="18" customFormat="1" ht="14.25" hidden="1">
      <c r="A19" s="34" t="s">
        <v>19</v>
      </c>
      <c r="B19" s="21"/>
      <c r="C19" s="38">
        <f>D19+E19+F19+G19</f>
        <v>192</v>
      </c>
      <c r="D19" s="27">
        <v>0</v>
      </c>
      <c r="E19" s="27">
        <v>2</v>
      </c>
      <c r="F19" s="27">
        <v>95</v>
      </c>
      <c r="G19" s="27">
        <v>95</v>
      </c>
      <c r="H19" s="116"/>
      <c r="I19" s="27">
        <v>95</v>
      </c>
      <c r="J19" s="38">
        <v>192</v>
      </c>
      <c r="K19" s="19"/>
      <c r="L19" s="22"/>
      <c r="M19" s="22"/>
      <c r="IK19" s="20"/>
      <c r="IL19" s="20"/>
      <c r="IM19" s="20"/>
      <c r="IN19" s="20"/>
      <c r="IO19" s="20"/>
    </row>
    <row r="20" spans="1:249" s="18" customFormat="1" ht="45" customHeight="1">
      <c r="A20" s="21" t="s">
        <v>11</v>
      </c>
      <c r="B20" s="21" t="s">
        <v>20</v>
      </c>
      <c r="C20" s="32">
        <f>C21+C22+C23</f>
        <v>3958</v>
      </c>
      <c r="D20" s="24">
        <f>D21+D22+D23</f>
        <v>123</v>
      </c>
      <c r="E20" s="24">
        <f>E21+E22+E23</f>
        <v>0</v>
      </c>
      <c r="F20" s="24">
        <f>F21+F22+F23</f>
        <v>1917</v>
      </c>
      <c r="G20" s="25">
        <f>G21+G22+G23</f>
        <v>1918</v>
      </c>
      <c r="H20" s="116">
        <v>0</v>
      </c>
      <c r="I20" s="25">
        <f>I21+I22+I23</f>
        <v>1918</v>
      </c>
      <c r="J20" s="32">
        <v>3958</v>
      </c>
      <c r="K20" s="19"/>
      <c r="L20" s="22"/>
      <c r="M20" s="22"/>
      <c r="IK20" s="20"/>
      <c r="IL20" s="20"/>
      <c r="IM20" s="20"/>
      <c r="IN20" s="20"/>
      <c r="IO20" s="20"/>
    </row>
    <row r="21" spans="1:249" s="18" customFormat="1" ht="16.5" customHeight="1">
      <c r="A21" s="26" t="s">
        <v>13</v>
      </c>
      <c r="B21" s="125"/>
      <c r="C21" s="28">
        <f>D21+E21+F21+G21</f>
        <v>563</v>
      </c>
      <c r="D21" s="28">
        <v>18</v>
      </c>
      <c r="E21" s="28">
        <v>0</v>
      </c>
      <c r="F21" s="28">
        <v>272</v>
      </c>
      <c r="G21" s="29">
        <v>273</v>
      </c>
      <c r="H21" s="116">
        <v>0</v>
      </c>
      <c r="I21" s="29">
        <v>273</v>
      </c>
      <c r="J21" s="28">
        <v>563</v>
      </c>
      <c r="K21" s="19"/>
      <c r="L21" s="22"/>
      <c r="M21" s="22"/>
      <c r="IK21" s="20"/>
      <c r="IL21" s="20"/>
      <c r="IM21" s="20"/>
      <c r="IN21" s="20"/>
      <c r="IO21" s="20"/>
    </row>
    <row r="22" spans="1:249" s="18" customFormat="1" ht="15.75" customHeight="1">
      <c r="A22" s="30" t="s">
        <v>14</v>
      </c>
      <c r="B22" s="125"/>
      <c r="C22" s="28">
        <f>D22+E22+F22+G22</f>
        <v>3195</v>
      </c>
      <c r="D22" s="28">
        <v>105</v>
      </c>
      <c r="E22" s="28">
        <v>0</v>
      </c>
      <c r="F22" s="28">
        <v>1545</v>
      </c>
      <c r="G22" s="29">
        <v>1545</v>
      </c>
      <c r="H22" s="116">
        <v>0</v>
      </c>
      <c r="I22" s="29">
        <v>1545</v>
      </c>
      <c r="J22" s="28">
        <v>3195</v>
      </c>
      <c r="K22" s="19"/>
      <c r="L22" s="22"/>
      <c r="M22" s="22"/>
      <c r="IK22" s="20"/>
      <c r="IL22" s="20"/>
      <c r="IM22" s="20"/>
      <c r="IN22" s="20"/>
      <c r="IO22" s="20"/>
    </row>
    <row r="23" spans="1:249" s="18" customFormat="1" ht="16.5" customHeight="1">
      <c r="A23" s="30" t="s">
        <v>15</v>
      </c>
      <c r="B23" s="125"/>
      <c r="C23" s="28">
        <f>D23+E23+F23+G23</f>
        <v>200</v>
      </c>
      <c r="D23" s="28">
        <v>0</v>
      </c>
      <c r="E23" s="28">
        <v>0</v>
      </c>
      <c r="F23" s="28">
        <v>100</v>
      </c>
      <c r="G23" s="29">
        <v>100</v>
      </c>
      <c r="H23" s="116">
        <v>0</v>
      </c>
      <c r="I23" s="29">
        <v>100</v>
      </c>
      <c r="J23" s="28">
        <v>200</v>
      </c>
      <c r="K23" s="19"/>
      <c r="L23" s="22"/>
      <c r="M23" s="22"/>
      <c r="IK23" s="20"/>
      <c r="IL23" s="20"/>
      <c r="IM23" s="20"/>
      <c r="IN23" s="20"/>
      <c r="IO23" s="20"/>
    </row>
    <row r="24" spans="1:249" s="18" customFormat="1" ht="16.5" customHeight="1" hidden="1">
      <c r="A24" s="30"/>
      <c r="B24" s="21"/>
      <c r="C24" s="28"/>
      <c r="D24" s="28"/>
      <c r="E24" s="28"/>
      <c r="F24" s="28"/>
      <c r="G24" s="29"/>
      <c r="H24" s="116"/>
      <c r="I24" s="29"/>
      <c r="J24" s="28"/>
      <c r="K24" s="19"/>
      <c r="L24" s="22"/>
      <c r="M24" s="22"/>
      <c r="IK24" s="20"/>
      <c r="IL24" s="20"/>
      <c r="IM24" s="20"/>
      <c r="IN24" s="20"/>
      <c r="IO24" s="20"/>
    </row>
    <row r="25" spans="1:249" s="18" customFormat="1" ht="18" customHeight="1" hidden="1">
      <c r="A25" s="31"/>
      <c r="B25" s="21"/>
      <c r="C25" s="32">
        <f>C26+C27+C28+C29</f>
        <v>3958</v>
      </c>
      <c r="D25" s="32">
        <f>D26+D27+D28+D29</f>
        <v>123</v>
      </c>
      <c r="E25" s="32">
        <v>0</v>
      </c>
      <c r="F25" s="32">
        <f>F26+F27+F28+F29</f>
        <v>1917</v>
      </c>
      <c r="G25" s="33">
        <f>G26+G27+G28+G29</f>
        <v>1918</v>
      </c>
      <c r="H25" s="116"/>
      <c r="I25" s="33">
        <f>I26+I27+I28+I29</f>
        <v>1918</v>
      </c>
      <c r="J25" s="32">
        <v>3958</v>
      </c>
      <c r="K25" s="19"/>
      <c r="L25" s="22"/>
      <c r="M25" s="22"/>
      <c r="IK25" s="20"/>
      <c r="IL25" s="20"/>
      <c r="IM25" s="20"/>
      <c r="IN25" s="20"/>
      <c r="IO25" s="20"/>
    </row>
    <row r="26" spans="1:249" s="18" customFormat="1" ht="17.25" customHeight="1" hidden="1">
      <c r="A26" s="30" t="s">
        <v>16</v>
      </c>
      <c r="B26" s="21"/>
      <c r="C26" s="27">
        <f>D26+E26+F26+G26</f>
        <v>488</v>
      </c>
      <c r="D26" s="28">
        <v>16</v>
      </c>
      <c r="E26" s="28">
        <v>0</v>
      </c>
      <c r="F26" s="28">
        <v>236</v>
      </c>
      <c r="G26" s="28">
        <v>236</v>
      </c>
      <c r="H26" s="116"/>
      <c r="I26" s="28">
        <v>236</v>
      </c>
      <c r="J26" s="27">
        <v>488</v>
      </c>
      <c r="K26" s="19"/>
      <c r="L26" s="22"/>
      <c r="M26" s="22"/>
      <c r="IK26" s="20"/>
      <c r="IL26" s="20"/>
      <c r="IM26" s="20"/>
      <c r="IN26" s="20"/>
      <c r="IO26" s="20"/>
    </row>
    <row r="27" spans="1:249" s="18" customFormat="1" ht="17.25" customHeight="1" hidden="1">
      <c r="A27" s="30" t="s">
        <v>17</v>
      </c>
      <c r="B27" s="21"/>
      <c r="C27" s="27">
        <f>D27+E27+F27+G27</f>
        <v>3195</v>
      </c>
      <c r="D27" s="28">
        <v>105</v>
      </c>
      <c r="E27" s="28">
        <v>0</v>
      </c>
      <c r="F27" s="28">
        <v>1545</v>
      </c>
      <c r="G27" s="28">
        <v>1545</v>
      </c>
      <c r="H27" s="116"/>
      <c r="I27" s="28">
        <v>1545</v>
      </c>
      <c r="J27" s="27">
        <v>3195</v>
      </c>
      <c r="K27" s="19"/>
      <c r="L27" s="22"/>
      <c r="M27" s="22"/>
      <c r="IK27" s="20"/>
      <c r="IL27" s="20"/>
      <c r="IM27" s="20"/>
      <c r="IN27" s="20"/>
      <c r="IO27" s="20"/>
    </row>
    <row r="28" spans="1:249" s="18" customFormat="1" ht="18" customHeight="1" hidden="1">
      <c r="A28" s="30" t="s">
        <v>18</v>
      </c>
      <c r="B28" s="21"/>
      <c r="C28" s="36">
        <f>D28+E28+F28+G28</f>
        <v>0</v>
      </c>
      <c r="D28" s="28">
        <v>0</v>
      </c>
      <c r="E28" s="28">
        <v>0</v>
      </c>
      <c r="F28" s="28">
        <v>0</v>
      </c>
      <c r="G28" s="29">
        <v>0</v>
      </c>
      <c r="H28" s="116"/>
      <c r="I28" s="29">
        <v>0</v>
      </c>
      <c r="J28" s="36">
        <v>0</v>
      </c>
      <c r="K28" s="19"/>
      <c r="L28" s="22"/>
      <c r="M28" s="22"/>
      <c r="IK28" s="20"/>
      <c r="IL28" s="20"/>
      <c r="IM28" s="20"/>
      <c r="IN28" s="20"/>
      <c r="IO28" s="20"/>
    </row>
    <row r="29" spans="1:249" s="18" customFormat="1" ht="14.25" hidden="1">
      <c r="A29" s="34" t="s">
        <v>19</v>
      </c>
      <c r="B29" s="21"/>
      <c r="C29" s="38">
        <f>D29+E29+F29+G29</f>
        <v>275</v>
      </c>
      <c r="D29" s="27">
        <v>2</v>
      </c>
      <c r="E29" s="27">
        <v>0</v>
      </c>
      <c r="F29" s="27">
        <v>136</v>
      </c>
      <c r="G29" s="27">
        <v>137</v>
      </c>
      <c r="H29" s="116"/>
      <c r="I29" s="27">
        <v>137</v>
      </c>
      <c r="J29" s="38">
        <v>275</v>
      </c>
      <c r="K29" s="19"/>
      <c r="L29" s="22"/>
      <c r="M29" s="22"/>
      <c r="IK29" s="20"/>
      <c r="IL29" s="20"/>
      <c r="IM29" s="20"/>
      <c r="IN29" s="20"/>
      <c r="IO29" s="20"/>
    </row>
    <row r="30" spans="1:249" s="18" customFormat="1" ht="32.25" customHeight="1">
      <c r="A30" s="21" t="s">
        <v>11</v>
      </c>
      <c r="B30" s="21" t="s">
        <v>21</v>
      </c>
      <c r="C30" s="32">
        <f>C31+C32+C33</f>
        <v>4471</v>
      </c>
      <c r="D30" s="24">
        <f>D31+D32+D33</f>
        <v>144</v>
      </c>
      <c r="E30" s="24">
        <f>E31+E32+E33</f>
        <v>1178</v>
      </c>
      <c r="F30" s="24">
        <f>F31+F32+F33</f>
        <v>1407</v>
      </c>
      <c r="G30" s="25">
        <f>G31+G32+G33</f>
        <v>1742</v>
      </c>
      <c r="H30" s="116">
        <v>0</v>
      </c>
      <c r="I30" s="25">
        <f>I31+I32+I33</f>
        <v>1742</v>
      </c>
      <c r="J30" s="32">
        <v>4471</v>
      </c>
      <c r="K30" s="19"/>
      <c r="L30" s="22"/>
      <c r="M30" s="22"/>
      <c r="IK30" s="20"/>
      <c r="IL30" s="20"/>
      <c r="IM30" s="20"/>
      <c r="IN30" s="20"/>
      <c r="IO30" s="20"/>
    </row>
    <row r="31" spans="1:249" s="18" customFormat="1" ht="17.25" customHeight="1">
      <c r="A31" s="26" t="s">
        <v>13</v>
      </c>
      <c r="B31" s="124"/>
      <c r="C31" s="28">
        <f>D31+E31+F31+G31</f>
        <v>521</v>
      </c>
      <c r="D31" s="28">
        <v>22</v>
      </c>
      <c r="E31" s="28">
        <v>177</v>
      </c>
      <c r="F31" s="28">
        <v>161</v>
      </c>
      <c r="G31" s="29">
        <v>161</v>
      </c>
      <c r="H31" s="116">
        <v>0</v>
      </c>
      <c r="I31" s="29">
        <v>161</v>
      </c>
      <c r="J31" s="28">
        <v>521</v>
      </c>
      <c r="K31" s="19"/>
      <c r="L31" s="22"/>
      <c r="M31" s="22"/>
      <c r="IK31" s="20"/>
      <c r="IL31" s="20"/>
      <c r="IM31" s="20"/>
      <c r="IN31" s="20"/>
      <c r="IO31" s="20"/>
    </row>
    <row r="32" spans="1:249" s="18" customFormat="1" ht="18" customHeight="1">
      <c r="A32" s="30" t="s">
        <v>14</v>
      </c>
      <c r="B32" s="124"/>
      <c r="C32" s="28">
        <f>D32+E32+F32+G32</f>
        <v>2948</v>
      </c>
      <c r="D32" s="28">
        <v>122</v>
      </c>
      <c r="E32" s="28">
        <v>1001</v>
      </c>
      <c r="F32" s="28">
        <v>912</v>
      </c>
      <c r="G32" s="29">
        <v>913</v>
      </c>
      <c r="H32" s="116">
        <v>0</v>
      </c>
      <c r="I32" s="29">
        <v>913</v>
      </c>
      <c r="J32" s="28">
        <v>2948</v>
      </c>
      <c r="K32" s="19"/>
      <c r="L32" s="22"/>
      <c r="M32" s="22"/>
      <c r="IK32" s="20"/>
      <c r="IL32" s="20"/>
      <c r="IM32" s="20"/>
      <c r="IN32" s="20"/>
      <c r="IO32" s="20"/>
    </row>
    <row r="33" spans="1:249" s="18" customFormat="1" ht="18" customHeight="1">
      <c r="A33" s="30" t="s">
        <v>15</v>
      </c>
      <c r="B33" s="124"/>
      <c r="C33" s="28">
        <f>D33+E33+F33+G33</f>
        <v>1002</v>
      </c>
      <c r="D33" s="28">
        <v>0</v>
      </c>
      <c r="E33" s="28">
        <v>0</v>
      </c>
      <c r="F33" s="28">
        <v>334</v>
      </c>
      <c r="G33" s="29">
        <v>668</v>
      </c>
      <c r="H33" s="116">
        <v>0</v>
      </c>
      <c r="I33" s="29">
        <v>668</v>
      </c>
      <c r="J33" s="28">
        <v>1002</v>
      </c>
      <c r="K33" s="19"/>
      <c r="L33" s="22"/>
      <c r="M33" s="22"/>
      <c r="IK33" s="20"/>
      <c r="IL33" s="20"/>
      <c r="IM33" s="20"/>
      <c r="IN33" s="20"/>
      <c r="IO33" s="20"/>
    </row>
    <row r="34" spans="1:249" s="18" customFormat="1" ht="18.75" customHeight="1" hidden="1">
      <c r="A34" s="30"/>
      <c r="B34" s="124"/>
      <c r="C34" s="28"/>
      <c r="D34" s="40"/>
      <c r="E34" s="28"/>
      <c r="F34" s="28"/>
      <c r="G34" s="29"/>
      <c r="H34" s="116"/>
      <c r="I34" s="29"/>
      <c r="J34" s="28"/>
      <c r="K34" s="19"/>
      <c r="L34" s="22"/>
      <c r="M34" s="22"/>
      <c r="IK34" s="20"/>
      <c r="IL34" s="20"/>
      <c r="IM34" s="20"/>
      <c r="IN34" s="20"/>
      <c r="IO34" s="20"/>
    </row>
    <row r="35" spans="1:249" s="18" customFormat="1" ht="18" customHeight="1" hidden="1">
      <c r="A35" s="31"/>
      <c r="B35" s="21"/>
      <c r="C35" s="32">
        <f>C36+C37+C38+C39</f>
        <v>4471</v>
      </c>
      <c r="D35" s="41">
        <f>D36+D37+D38+D39</f>
        <v>144</v>
      </c>
      <c r="E35" s="41">
        <f>E36+E37+E38+E39</f>
        <v>1178</v>
      </c>
      <c r="F35" s="41">
        <f>F36+F37+F38+F39</f>
        <v>1407</v>
      </c>
      <c r="G35" s="42">
        <f>G36+G37+G38+G39</f>
        <v>1742</v>
      </c>
      <c r="H35" s="116"/>
      <c r="I35" s="42">
        <f>I36+I37+I38+I39</f>
        <v>1742</v>
      </c>
      <c r="J35" s="32">
        <v>4471</v>
      </c>
      <c r="K35" s="19"/>
      <c r="L35" s="22"/>
      <c r="M35" s="22"/>
      <c r="IK35" s="20"/>
      <c r="IL35" s="20"/>
      <c r="IM35" s="20"/>
      <c r="IN35" s="20"/>
      <c r="IO35" s="20"/>
    </row>
    <row r="36" spans="1:249" s="18" customFormat="1" ht="18" customHeight="1" hidden="1">
      <c r="A36" s="30" t="s">
        <v>16</v>
      </c>
      <c r="B36" s="21"/>
      <c r="C36" s="27">
        <f>D36+E36+F36+G36</f>
        <v>451</v>
      </c>
      <c r="D36" s="40">
        <v>19</v>
      </c>
      <c r="E36" s="40">
        <v>153</v>
      </c>
      <c r="F36" s="28">
        <v>139</v>
      </c>
      <c r="G36" s="40">
        <v>140</v>
      </c>
      <c r="H36" s="116"/>
      <c r="I36" s="40">
        <v>140</v>
      </c>
      <c r="J36" s="27">
        <v>451</v>
      </c>
      <c r="K36" s="19"/>
      <c r="L36" s="22"/>
      <c r="M36" s="22"/>
      <c r="IK36" s="20"/>
      <c r="IL36" s="20"/>
      <c r="IM36" s="20"/>
      <c r="IN36" s="20"/>
      <c r="IO36" s="20"/>
    </row>
    <row r="37" spans="1:249" s="18" customFormat="1" ht="18" customHeight="1" hidden="1">
      <c r="A37" s="30" t="s">
        <v>17</v>
      </c>
      <c r="B37" s="21"/>
      <c r="C37" s="27">
        <f>D37+E37+F37+G37</f>
        <v>2947</v>
      </c>
      <c r="D37" s="40">
        <v>122</v>
      </c>
      <c r="E37" s="40">
        <v>1001</v>
      </c>
      <c r="F37" s="40">
        <v>912</v>
      </c>
      <c r="G37" s="40">
        <v>912</v>
      </c>
      <c r="H37" s="116"/>
      <c r="I37" s="40">
        <v>912</v>
      </c>
      <c r="J37" s="27">
        <v>2947</v>
      </c>
      <c r="K37" s="19"/>
      <c r="L37" s="22"/>
      <c r="M37" s="22"/>
      <c r="IK37" s="20"/>
      <c r="IL37" s="20"/>
      <c r="IM37" s="20"/>
      <c r="IN37" s="20"/>
      <c r="IO37" s="20"/>
    </row>
    <row r="38" spans="1:249" s="18" customFormat="1" ht="18" customHeight="1" hidden="1">
      <c r="A38" s="30" t="s">
        <v>18</v>
      </c>
      <c r="B38" s="21"/>
      <c r="C38" s="36">
        <f>D38+E38+F38+G38</f>
        <v>0</v>
      </c>
      <c r="D38" s="40">
        <v>0</v>
      </c>
      <c r="E38" s="40">
        <v>0</v>
      </c>
      <c r="F38" s="40">
        <v>0</v>
      </c>
      <c r="G38" s="43">
        <v>0</v>
      </c>
      <c r="H38" s="116"/>
      <c r="I38" s="43">
        <v>0</v>
      </c>
      <c r="J38" s="36">
        <v>0</v>
      </c>
      <c r="K38" s="19"/>
      <c r="L38" s="22"/>
      <c r="M38" s="22"/>
      <c r="IK38" s="20"/>
      <c r="IL38" s="20"/>
      <c r="IM38" s="20"/>
      <c r="IN38" s="20"/>
      <c r="IO38" s="20"/>
    </row>
    <row r="39" spans="1:249" s="18" customFormat="1" ht="18" customHeight="1" hidden="1">
      <c r="A39" s="34" t="s">
        <v>19</v>
      </c>
      <c r="B39" s="21"/>
      <c r="C39" s="38">
        <f>D39+E39+F39+G39</f>
        <v>1073</v>
      </c>
      <c r="D39" s="36">
        <v>3</v>
      </c>
      <c r="E39" s="36">
        <v>24</v>
      </c>
      <c r="F39" s="36">
        <v>356</v>
      </c>
      <c r="G39" s="36">
        <v>690</v>
      </c>
      <c r="H39" s="116"/>
      <c r="I39" s="36">
        <v>690</v>
      </c>
      <c r="J39" s="38">
        <v>1073</v>
      </c>
      <c r="K39" s="44"/>
      <c r="L39" s="22"/>
      <c r="M39" s="22"/>
      <c r="IK39" s="20"/>
      <c r="IL39" s="20"/>
      <c r="IM39" s="20"/>
      <c r="IN39" s="20"/>
      <c r="IO39" s="20"/>
    </row>
    <row r="40" spans="1:249" s="18" customFormat="1" ht="31.5" customHeight="1">
      <c r="A40" s="21" t="s">
        <v>11</v>
      </c>
      <c r="B40" s="45" t="s">
        <v>22</v>
      </c>
      <c r="C40" s="32">
        <f>C41+C42+C43</f>
        <v>1757</v>
      </c>
      <c r="D40" s="24">
        <f>D41+D42+D43</f>
        <v>125</v>
      </c>
      <c r="E40" s="24">
        <f>E41+E42+E43</f>
        <v>0</v>
      </c>
      <c r="F40" s="24">
        <f>F41+F42+F43</f>
        <v>1632</v>
      </c>
      <c r="G40" s="24">
        <f>G41+G42+G43</f>
        <v>0</v>
      </c>
      <c r="H40" s="116">
        <v>0</v>
      </c>
      <c r="I40" s="24">
        <f>I41+I42+I43</f>
        <v>0</v>
      </c>
      <c r="J40" s="32">
        <v>1757</v>
      </c>
      <c r="K40" s="44"/>
      <c r="L40" s="22"/>
      <c r="M40" s="22"/>
      <c r="IK40" s="20"/>
      <c r="IL40" s="20"/>
      <c r="IM40" s="20"/>
      <c r="IN40" s="20"/>
      <c r="IO40" s="20"/>
    </row>
    <row r="41" spans="1:249" s="18" customFormat="1" ht="18" customHeight="1">
      <c r="A41" s="26" t="s">
        <v>13</v>
      </c>
      <c r="B41" s="124"/>
      <c r="C41" s="28">
        <f>D41+E41+F41+G41</f>
        <v>264</v>
      </c>
      <c r="D41" s="28">
        <v>19</v>
      </c>
      <c r="E41" s="28">
        <v>0</v>
      </c>
      <c r="F41" s="28">
        <v>245</v>
      </c>
      <c r="G41" s="29">
        <v>0</v>
      </c>
      <c r="H41" s="116">
        <f>H40</f>
        <v>0</v>
      </c>
      <c r="I41" s="29">
        <v>0</v>
      </c>
      <c r="J41" s="28">
        <v>264</v>
      </c>
      <c r="K41" s="44"/>
      <c r="L41" s="22"/>
      <c r="M41" s="22"/>
      <c r="IK41" s="20"/>
      <c r="IL41" s="20"/>
      <c r="IM41" s="20"/>
      <c r="IN41" s="20"/>
      <c r="IO41" s="20"/>
    </row>
    <row r="42" spans="1:249" s="18" customFormat="1" ht="18" customHeight="1">
      <c r="A42" s="30" t="s">
        <v>14</v>
      </c>
      <c r="B42" s="124"/>
      <c r="C42" s="28">
        <f>D42+E42+F42+G42</f>
        <v>1493</v>
      </c>
      <c r="D42" s="28">
        <v>106</v>
      </c>
      <c r="E42" s="28">
        <v>0</v>
      </c>
      <c r="F42" s="28">
        <v>1387</v>
      </c>
      <c r="G42" s="29">
        <v>0</v>
      </c>
      <c r="H42" s="116">
        <f aca="true" t="shared" si="0" ref="H42:H105">H41</f>
        <v>0</v>
      </c>
      <c r="I42" s="29">
        <v>0</v>
      </c>
      <c r="J42" s="28">
        <v>1493</v>
      </c>
      <c r="K42" s="44"/>
      <c r="L42" s="22"/>
      <c r="M42" s="22"/>
      <c r="IK42" s="20"/>
      <c r="IL42" s="20"/>
      <c r="IM42" s="20"/>
      <c r="IN42" s="20"/>
      <c r="IO42" s="20"/>
    </row>
    <row r="43" spans="1:249" s="18" customFormat="1" ht="18" customHeight="1">
      <c r="A43" s="30" t="s">
        <v>15</v>
      </c>
      <c r="B43" s="124"/>
      <c r="C43" s="28">
        <f>D43+E43+F43+G43</f>
        <v>0</v>
      </c>
      <c r="D43" s="28">
        <v>0</v>
      </c>
      <c r="E43" s="28">
        <v>0</v>
      </c>
      <c r="F43" s="28">
        <v>0</v>
      </c>
      <c r="G43" s="29">
        <v>0</v>
      </c>
      <c r="H43" s="116">
        <f t="shared" si="0"/>
        <v>0</v>
      </c>
      <c r="I43" s="29">
        <v>0</v>
      </c>
      <c r="J43" s="28">
        <v>0</v>
      </c>
      <c r="K43" s="44"/>
      <c r="L43" s="22"/>
      <c r="M43" s="22"/>
      <c r="IK43" s="20"/>
      <c r="IL43" s="20"/>
      <c r="IM43" s="20"/>
      <c r="IN43" s="20"/>
      <c r="IO43" s="20"/>
    </row>
    <row r="44" spans="1:249" s="18" customFormat="1" ht="18" customHeight="1" hidden="1">
      <c r="A44" s="30"/>
      <c r="B44" s="21"/>
      <c r="C44" s="28"/>
      <c r="D44" s="28"/>
      <c r="E44" s="28"/>
      <c r="F44" s="28"/>
      <c r="G44" s="29"/>
      <c r="H44" s="116">
        <f t="shared" si="0"/>
        <v>0</v>
      </c>
      <c r="I44" s="29"/>
      <c r="J44" s="28"/>
      <c r="K44" s="44"/>
      <c r="L44" s="22"/>
      <c r="M44" s="22"/>
      <c r="IK44" s="20"/>
      <c r="IL44" s="20"/>
      <c r="IM44" s="20"/>
      <c r="IN44" s="20"/>
      <c r="IO44" s="20"/>
    </row>
    <row r="45" spans="1:249" s="18" customFormat="1" ht="18" customHeight="1" hidden="1">
      <c r="A45" s="31"/>
      <c r="B45" s="21"/>
      <c r="C45" s="32">
        <f>C46+C47+C48+C49</f>
        <v>1756.5</v>
      </c>
      <c r="D45" s="32">
        <f>D46+D47+D48+D49</f>
        <v>124.5</v>
      </c>
      <c r="E45" s="32">
        <f>E46+E47+E48+E49</f>
        <v>0</v>
      </c>
      <c r="F45" s="32">
        <f>F46+F47+F48+F49</f>
        <v>1632</v>
      </c>
      <c r="G45" s="33">
        <f>G46+G47+G48+G49</f>
        <v>0</v>
      </c>
      <c r="H45" s="116">
        <f t="shared" si="0"/>
        <v>0</v>
      </c>
      <c r="I45" s="33">
        <f>I46+I47+I48+I49</f>
        <v>0</v>
      </c>
      <c r="J45" s="32">
        <v>1756.5</v>
      </c>
      <c r="K45" s="44"/>
      <c r="L45" s="22"/>
      <c r="M45" s="22"/>
      <c r="IK45" s="20"/>
      <c r="IL45" s="20"/>
      <c r="IM45" s="20"/>
      <c r="IN45" s="20"/>
      <c r="IO45" s="20"/>
    </row>
    <row r="46" spans="1:249" s="18" customFormat="1" ht="18" customHeight="1" hidden="1">
      <c r="A46" s="30" t="s">
        <v>16</v>
      </c>
      <c r="B46" s="21"/>
      <c r="C46" s="40">
        <f>D46+E46+F46+G46</f>
        <v>228</v>
      </c>
      <c r="D46" s="28">
        <v>16</v>
      </c>
      <c r="E46" s="28">
        <v>0</v>
      </c>
      <c r="F46" s="46">
        <v>212</v>
      </c>
      <c r="G46" s="29">
        <v>0</v>
      </c>
      <c r="H46" s="116">
        <f t="shared" si="0"/>
        <v>0</v>
      </c>
      <c r="I46" s="29">
        <v>0</v>
      </c>
      <c r="J46" s="40">
        <v>228</v>
      </c>
      <c r="K46" s="44"/>
      <c r="L46" s="22"/>
      <c r="M46" s="22"/>
      <c r="IK46" s="20"/>
      <c r="IL46" s="20"/>
      <c r="IM46" s="20"/>
      <c r="IN46" s="20"/>
      <c r="IO46" s="20"/>
    </row>
    <row r="47" spans="1:249" s="18" customFormat="1" ht="18" customHeight="1" hidden="1">
      <c r="A47" s="30" t="s">
        <v>17</v>
      </c>
      <c r="B47" s="21"/>
      <c r="C47" s="40">
        <f>D47+E47+F47+G47</f>
        <v>1493</v>
      </c>
      <c r="D47" s="28">
        <v>106</v>
      </c>
      <c r="E47" s="28">
        <v>0</v>
      </c>
      <c r="F47" s="46">
        <v>1387</v>
      </c>
      <c r="G47" s="43">
        <v>0</v>
      </c>
      <c r="H47" s="116">
        <f t="shared" si="0"/>
        <v>0</v>
      </c>
      <c r="I47" s="43">
        <v>0</v>
      </c>
      <c r="J47" s="40">
        <v>1493</v>
      </c>
      <c r="K47" s="44"/>
      <c r="L47" s="22"/>
      <c r="M47" s="22"/>
      <c r="IK47" s="20"/>
      <c r="IL47" s="20"/>
      <c r="IM47" s="20"/>
      <c r="IN47" s="20"/>
      <c r="IO47" s="20"/>
    </row>
    <row r="48" spans="1:249" s="18" customFormat="1" ht="18" customHeight="1" hidden="1">
      <c r="A48" s="30" t="s">
        <v>18</v>
      </c>
      <c r="B48" s="21"/>
      <c r="C48" s="40">
        <f>D48+E48+F48+G48</f>
        <v>0</v>
      </c>
      <c r="D48" s="28">
        <v>0</v>
      </c>
      <c r="E48" s="28">
        <v>0</v>
      </c>
      <c r="F48" s="46">
        <v>0</v>
      </c>
      <c r="G48" s="29">
        <v>0</v>
      </c>
      <c r="H48" s="116">
        <f t="shared" si="0"/>
        <v>0</v>
      </c>
      <c r="I48" s="29">
        <v>0</v>
      </c>
      <c r="J48" s="40">
        <v>0</v>
      </c>
      <c r="K48" s="44"/>
      <c r="L48" s="22"/>
      <c r="M48" s="22"/>
      <c r="IK48" s="20"/>
      <c r="IL48" s="20"/>
      <c r="IM48" s="20"/>
      <c r="IN48" s="20"/>
      <c r="IO48" s="20"/>
    </row>
    <row r="49" spans="1:249" s="18" customFormat="1" ht="30.75" customHeight="1" hidden="1">
      <c r="A49" s="34" t="s">
        <v>19</v>
      </c>
      <c r="B49" s="21"/>
      <c r="C49" s="47">
        <f>D49+E49+F49+G49</f>
        <v>35.5</v>
      </c>
      <c r="D49" s="27">
        <f>(0.02*D40)+D43</f>
        <v>2.5</v>
      </c>
      <c r="E49" s="28">
        <v>0</v>
      </c>
      <c r="F49" s="48">
        <v>33</v>
      </c>
      <c r="G49" s="29">
        <v>0</v>
      </c>
      <c r="H49" s="116">
        <f t="shared" si="0"/>
        <v>0</v>
      </c>
      <c r="I49" s="29">
        <v>0</v>
      </c>
      <c r="J49" s="47">
        <v>35.5</v>
      </c>
      <c r="K49" s="44"/>
      <c r="L49" s="22"/>
      <c r="M49" s="22"/>
      <c r="IK49" s="20"/>
      <c r="IL49" s="20"/>
      <c r="IM49" s="20"/>
      <c r="IN49" s="20"/>
      <c r="IO49" s="20"/>
    </row>
    <row r="50" spans="1:249" s="18" customFormat="1" ht="33" customHeight="1">
      <c r="A50" s="21" t="s">
        <v>11</v>
      </c>
      <c r="B50" s="45" t="s">
        <v>23</v>
      </c>
      <c r="C50" s="32">
        <f>C51+C52+C53</f>
        <v>2777</v>
      </c>
      <c r="D50" s="24">
        <f>D51+D52+D53</f>
        <v>158</v>
      </c>
      <c r="E50" s="24">
        <v>0</v>
      </c>
      <c r="F50" s="24">
        <f>F51+F52+F53</f>
        <v>2619</v>
      </c>
      <c r="G50" s="25">
        <v>0</v>
      </c>
      <c r="H50" s="116">
        <f t="shared" si="0"/>
        <v>0</v>
      </c>
      <c r="I50" s="25">
        <v>0</v>
      </c>
      <c r="J50" s="32">
        <v>2777</v>
      </c>
      <c r="K50" s="44"/>
      <c r="L50" s="22"/>
      <c r="M50" s="22"/>
      <c r="IK50" s="20"/>
      <c r="IL50" s="20"/>
      <c r="IM50" s="20"/>
      <c r="IN50" s="20"/>
      <c r="IO50" s="20"/>
    </row>
    <row r="51" spans="1:249" s="18" customFormat="1" ht="18" customHeight="1">
      <c r="A51" s="26" t="s">
        <v>13</v>
      </c>
      <c r="B51" s="124"/>
      <c r="C51" s="28">
        <f>D51+E51+F51+G51</f>
        <v>417</v>
      </c>
      <c r="D51" s="28">
        <v>24</v>
      </c>
      <c r="E51" s="28">
        <v>0</v>
      </c>
      <c r="F51" s="28">
        <v>393</v>
      </c>
      <c r="G51" s="29">
        <v>0</v>
      </c>
      <c r="H51" s="116">
        <f t="shared" si="0"/>
        <v>0</v>
      </c>
      <c r="I51" s="29">
        <v>0</v>
      </c>
      <c r="J51" s="28">
        <v>417</v>
      </c>
      <c r="K51" s="44"/>
      <c r="L51" s="22"/>
      <c r="M51" s="22"/>
      <c r="IK51" s="20"/>
      <c r="IL51" s="20"/>
      <c r="IM51" s="20"/>
      <c r="IN51" s="20"/>
      <c r="IO51" s="20"/>
    </row>
    <row r="52" spans="1:249" s="18" customFormat="1" ht="18" customHeight="1">
      <c r="A52" s="30" t="s">
        <v>14</v>
      </c>
      <c r="B52" s="124"/>
      <c r="C52" s="28">
        <f>D52+E52+F52+G52</f>
        <v>2360</v>
      </c>
      <c r="D52" s="28">
        <v>134</v>
      </c>
      <c r="E52" s="28">
        <v>0</v>
      </c>
      <c r="F52" s="28">
        <v>2226</v>
      </c>
      <c r="G52" s="29">
        <v>0</v>
      </c>
      <c r="H52" s="116">
        <f t="shared" si="0"/>
        <v>0</v>
      </c>
      <c r="I52" s="29">
        <v>0</v>
      </c>
      <c r="J52" s="28">
        <v>2360</v>
      </c>
      <c r="K52" s="44"/>
      <c r="L52" s="22"/>
      <c r="M52" s="22"/>
      <c r="IK52" s="20"/>
      <c r="IL52" s="20"/>
      <c r="IM52" s="20"/>
      <c r="IN52" s="20"/>
      <c r="IO52" s="20"/>
    </row>
    <row r="53" spans="1:249" s="18" customFormat="1" ht="17.25" customHeight="1">
      <c r="A53" s="30" t="s">
        <v>15</v>
      </c>
      <c r="B53" s="124"/>
      <c r="C53" s="28">
        <f>D53+E53+F53+G53</f>
        <v>0</v>
      </c>
      <c r="D53" s="28">
        <v>0</v>
      </c>
      <c r="E53" s="28">
        <v>0</v>
      </c>
      <c r="F53" s="28">
        <v>0</v>
      </c>
      <c r="G53" s="29">
        <v>0</v>
      </c>
      <c r="H53" s="116">
        <f t="shared" si="0"/>
        <v>0</v>
      </c>
      <c r="I53" s="29">
        <v>0</v>
      </c>
      <c r="J53" s="28">
        <v>0</v>
      </c>
      <c r="K53" s="44"/>
      <c r="L53" s="22"/>
      <c r="M53" s="22"/>
      <c r="IK53" s="20"/>
      <c r="IL53" s="20"/>
      <c r="IM53" s="20"/>
      <c r="IN53" s="20"/>
      <c r="IO53" s="20"/>
    </row>
    <row r="54" spans="1:249" s="18" customFormat="1" ht="18" customHeight="1" hidden="1">
      <c r="A54" s="30"/>
      <c r="B54" s="21"/>
      <c r="C54" s="28"/>
      <c r="D54" s="28"/>
      <c r="E54" s="28"/>
      <c r="F54" s="28"/>
      <c r="G54" s="29"/>
      <c r="H54" s="116">
        <f t="shared" si="0"/>
        <v>0</v>
      </c>
      <c r="I54" s="29"/>
      <c r="J54" s="28"/>
      <c r="K54" s="44"/>
      <c r="L54" s="22"/>
      <c r="M54" s="22"/>
      <c r="IK54" s="20"/>
      <c r="IL54" s="20"/>
      <c r="IM54" s="20"/>
      <c r="IN54" s="20"/>
      <c r="IO54" s="20"/>
    </row>
    <row r="55" spans="1:249" s="18" customFormat="1" ht="18" customHeight="1" hidden="1">
      <c r="A55" s="31"/>
      <c r="B55" s="21"/>
      <c r="C55" s="32">
        <f>C56+C57+C58+C59</f>
        <v>2777</v>
      </c>
      <c r="D55" s="32">
        <f>D56+D57+D58+D59</f>
        <v>158</v>
      </c>
      <c r="E55" s="32">
        <f>E56+E57+E58+E59</f>
        <v>0</v>
      </c>
      <c r="F55" s="32">
        <f>F56+F57+F58+F59</f>
        <v>2619</v>
      </c>
      <c r="G55" s="33">
        <f>G56+G57+G58+G59</f>
        <v>0</v>
      </c>
      <c r="H55" s="116">
        <f t="shared" si="0"/>
        <v>0</v>
      </c>
      <c r="I55" s="33">
        <f>I56+I57+I58+I59</f>
        <v>0</v>
      </c>
      <c r="J55" s="32">
        <v>2777</v>
      </c>
      <c r="K55" s="44"/>
      <c r="L55" s="22"/>
      <c r="M55" s="22"/>
      <c r="IK55" s="20"/>
      <c r="IL55" s="20"/>
      <c r="IM55" s="20"/>
      <c r="IN55" s="20"/>
      <c r="IO55" s="20"/>
    </row>
    <row r="56" spans="1:249" s="18" customFormat="1" ht="18" customHeight="1" hidden="1">
      <c r="A56" s="30" t="s">
        <v>16</v>
      </c>
      <c r="B56" s="21"/>
      <c r="C56" s="40">
        <f>D56+E56+F56+G56</f>
        <v>362</v>
      </c>
      <c r="D56" s="28">
        <v>21</v>
      </c>
      <c r="E56" s="28">
        <v>0</v>
      </c>
      <c r="F56" s="28">
        <v>341</v>
      </c>
      <c r="G56" s="29">
        <v>0</v>
      </c>
      <c r="H56" s="116">
        <f t="shared" si="0"/>
        <v>0</v>
      </c>
      <c r="I56" s="29">
        <v>0</v>
      </c>
      <c r="J56" s="40">
        <v>362</v>
      </c>
      <c r="K56" s="44"/>
      <c r="L56" s="22"/>
      <c r="M56" s="22"/>
      <c r="IK56" s="20"/>
      <c r="IL56" s="20"/>
      <c r="IM56" s="20"/>
      <c r="IN56" s="20"/>
      <c r="IO56" s="20"/>
    </row>
    <row r="57" spans="1:249" s="18" customFormat="1" ht="18" customHeight="1" hidden="1">
      <c r="A57" s="30" t="s">
        <v>17</v>
      </c>
      <c r="B57" s="21"/>
      <c r="C57" s="40">
        <f>D57+E57+F57+G57</f>
        <v>2360</v>
      </c>
      <c r="D57" s="28">
        <v>134</v>
      </c>
      <c r="E57" s="28">
        <v>0</v>
      </c>
      <c r="F57" s="28">
        <v>2226</v>
      </c>
      <c r="G57" s="29">
        <v>0</v>
      </c>
      <c r="H57" s="116">
        <f t="shared" si="0"/>
        <v>0</v>
      </c>
      <c r="I57" s="29">
        <v>0</v>
      </c>
      <c r="J57" s="40">
        <v>2360</v>
      </c>
      <c r="K57" s="44"/>
      <c r="L57" s="22"/>
      <c r="M57" s="22"/>
      <c r="IK57" s="20"/>
      <c r="IL57" s="20"/>
      <c r="IM57" s="20"/>
      <c r="IN57" s="20"/>
      <c r="IO57" s="20"/>
    </row>
    <row r="58" spans="1:249" s="18" customFormat="1" ht="18" customHeight="1" hidden="1">
      <c r="A58" s="30" t="s">
        <v>18</v>
      </c>
      <c r="B58" s="21"/>
      <c r="C58" s="40">
        <f>D58+E58+F58+G58</f>
        <v>0</v>
      </c>
      <c r="D58" s="28">
        <v>0</v>
      </c>
      <c r="E58" s="28">
        <v>0</v>
      </c>
      <c r="F58" s="28">
        <v>0</v>
      </c>
      <c r="G58" s="29">
        <v>0</v>
      </c>
      <c r="H58" s="116">
        <f t="shared" si="0"/>
        <v>0</v>
      </c>
      <c r="I58" s="29">
        <v>0</v>
      </c>
      <c r="J58" s="40">
        <v>0</v>
      </c>
      <c r="K58" s="44"/>
      <c r="L58" s="22"/>
      <c r="M58" s="22"/>
      <c r="IK58" s="20"/>
      <c r="IL58" s="20"/>
      <c r="IM58" s="20"/>
      <c r="IN58" s="20"/>
      <c r="IO58" s="20"/>
    </row>
    <row r="59" spans="1:249" s="18" customFormat="1" ht="30" customHeight="1" hidden="1">
      <c r="A59" s="34" t="s">
        <v>19</v>
      </c>
      <c r="B59" s="21"/>
      <c r="C59" s="49">
        <f>D59+E59+F59+G59</f>
        <v>55</v>
      </c>
      <c r="D59" s="28">
        <v>3</v>
      </c>
      <c r="E59" s="28">
        <v>0</v>
      </c>
      <c r="F59" s="28">
        <v>52</v>
      </c>
      <c r="G59" s="29">
        <v>0</v>
      </c>
      <c r="H59" s="116">
        <f t="shared" si="0"/>
        <v>0</v>
      </c>
      <c r="I59" s="29">
        <v>0</v>
      </c>
      <c r="J59" s="49">
        <v>55</v>
      </c>
      <c r="K59" s="44"/>
      <c r="L59" s="22"/>
      <c r="M59" s="22"/>
      <c r="IK59" s="20"/>
      <c r="IL59" s="20"/>
      <c r="IM59" s="20"/>
      <c r="IN59" s="20"/>
      <c r="IO59" s="20"/>
    </row>
    <row r="60" spans="1:249" s="18" customFormat="1" ht="30.75" customHeight="1">
      <c r="A60" s="21" t="s">
        <v>11</v>
      </c>
      <c r="B60" s="45" t="s">
        <v>24</v>
      </c>
      <c r="C60" s="32">
        <f>C61+C62+C63</f>
        <v>1693</v>
      </c>
      <c r="D60" s="24">
        <f>D61+D62+D63</f>
        <v>147</v>
      </c>
      <c r="E60" s="24">
        <v>0</v>
      </c>
      <c r="F60" s="24">
        <f>F61+F62+F63</f>
        <v>1546</v>
      </c>
      <c r="G60" s="25">
        <f>G61+G62+G63</f>
        <v>0</v>
      </c>
      <c r="H60" s="116">
        <f t="shared" si="0"/>
        <v>0</v>
      </c>
      <c r="I60" s="25">
        <f>I61+I62+I63</f>
        <v>0</v>
      </c>
      <c r="J60" s="32">
        <v>1693</v>
      </c>
      <c r="K60" s="44"/>
      <c r="L60" s="22"/>
      <c r="M60" s="22"/>
      <c r="IK60" s="20"/>
      <c r="IL60" s="20"/>
      <c r="IM60" s="20"/>
      <c r="IN60" s="20"/>
      <c r="IO60" s="20"/>
    </row>
    <row r="61" spans="1:249" s="18" customFormat="1" ht="16.5" customHeight="1">
      <c r="A61" s="26" t="s">
        <v>13</v>
      </c>
      <c r="B61" s="124"/>
      <c r="C61" s="28">
        <f>D61+E61+F61+G61</f>
        <v>254</v>
      </c>
      <c r="D61" s="28">
        <v>22</v>
      </c>
      <c r="E61" s="28">
        <v>0</v>
      </c>
      <c r="F61" s="28">
        <v>232</v>
      </c>
      <c r="G61" s="29">
        <v>0</v>
      </c>
      <c r="H61" s="116">
        <f t="shared" si="0"/>
        <v>0</v>
      </c>
      <c r="I61" s="29">
        <v>0</v>
      </c>
      <c r="J61" s="28">
        <v>254</v>
      </c>
      <c r="K61" s="44"/>
      <c r="L61" s="22"/>
      <c r="M61" s="22"/>
      <c r="IK61" s="20"/>
      <c r="IL61" s="20"/>
      <c r="IM61" s="20"/>
      <c r="IN61" s="20"/>
      <c r="IO61" s="20"/>
    </row>
    <row r="62" spans="1:249" s="18" customFormat="1" ht="18" customHeight="1">
      <c r="A62" s="30" t="s">
        <v>14</v>
      </c>
      <c r="B62" s="124"/>
      <c r="C62" s="28">
        <f>D62+E62+F62+G62</f>
        <v>1439</v>
      </c>
      <c r="D62" s="28">
        <v>125</v>
      </c>
      <c r="E62" s="28">
        <v>0</v>
      </c>
      <c r="F62" s="28">
        <v>1314</v>
      </c>
      <c r="G62" s="29">
        <v>0</v>
      </c>
      <c r="H62" s="116">
        <f t="shared" si="0"/>
        <v>0</v>
      </c>
      <c r="I62" s="29">
        <v>0</v>
      </c>
      <c r="J62" s="28">
        <v>1439</v>
      </c>
      <c r="K62" s="44"/>
      <c r="L62" s="22"/>
      <c r="M62" s="22"/>
      <c r="IK62" s="20"/>
      <c r="IL62" s="20"/>
      <c r="IM62" s="20"/>
      <c r="IN62" s="20"/>
      <c r="IO62" s="20"/>
    </row>
    <row r="63" spans="1:249" s="18" customFormat="1" ht="16.5" customHeight="1">
      <c r="A63" s="30" t="s">
        <v>15</v>
      </c>
      <c r="B63" s="124"/>
      <c r="C63" s="28">
        <f>D63+E63+F63+G63</f>
        <v>0</v>
      </c>
      <c r="D63" s="28">
        <v>0</v>
      </c>
      <c r="E63" s="28">
        <v>0</v>
      </c>
      <c r="F63" s="28">
        <v>0</v>
      </c>
      <c r="G63" s="29">
        <v>0</v>
      </c>
      <c r="H63" s="116">
        <f t="shared" si="0"/>
        <v>0</v>
      </c>
      <c r="I63" s="29">
        <v>0</v>
      </c>
      <c r="J63" s="28">
        <v>0</v>
      </c>
      <c r="K63" s="44"/>
      <c r="L63" s="22"/>
      <c r="M63" s="22"/>
      <c r="IK63" s="20"/>
      <c r="IL63" s="20"/>
      <c r="IM63" s="20"/>
      <c r="IN63" s="20"/>
      <c r="IO63" s="20"/>
    </row>
    <row r="64" spans="1:249" s="18" customFormat="1" ht="18" customHeight="1" hidden="1">
      <c r="A64" s="30"/>
      <c r="B64" s="21"/>
      <c r="C64" s="28"/>
      <c r="D64" s="28"/>
      <c r="E64" s="28"/>
      <c r="F64" s="28"/>
      <c r="G64" s="29"/>
      <c r="H64" s="116">
        <f t="shared" si="0"/>
        <v>0</v>
      </c>
      <c r="I64" s="29"/>
      <c r="J64" s="28"/>
      <c r="K64" s="44"/>
      <c r="L64" s="22"/>
      <c r="M64" s="22"/>
      <c r="IK64" s="20"/>
      <c r="IL64" s="20"/>
      <c r="IM64" s="20"/>
      <c r="IN64" s="20"/>
      <c r="IO64" s="20"/>
    </row>
    <row r="65" spans="1:249" s="18" customFormat="1" ht="18" customHeight="1" hidden="1">
      <c r="A65" s="31"/>
      <c r="B65" s="21"/>
      <c r="C65" s="32">
        <f>C66+C67+C68+C69</f>
        <v>1693</v>
      </c>
      <c r="D65" s="32">
        <f>D66+D67+D68+D69</f>
        <v>147</v>
      </c>
      <c r="E65" s="32">
        <v>0</v>
      </c>
      <c r="F65" s="32">
        <f>F66+F67+F68+F69</f>
        <v>1546</v>
      </c>
      <c r="G65" s="33">
        <f>G66+G67+G68+G69</f>
        <v>0</v>
      </c>
      <c r="H65" s="116">
        <f t="shared" si="0"/>
        <v>0</v>
      </c>
      <c r="I65" s="33">
        <f>I66+I67+I68+I69</f>
        <v>0</v>
      </c>
      <c r="J65" s="32">
        <v>1693</v>
      </c>
      <c r="K65" s="44"/>
      <c r="L65" s="22"/>
      <c r="M65" s="22"/>
      <c r="IK65" s="20"/>
      <c r="IL65" s="20"/>
      <c r="IM65" s="20"/>
      <c r="IN65" s="20"/>
      <c r="IO65" s="20"/>
    </row>
    <row r="66" spans="1:249" s="18" customFormat="1" ht="18" customHeight="1" hidden="1">
      <c r="A66" s="30" t="s">
        <v>16</v>
      </c>
      <c r="B66" s="21"/>
      <c r="C66" s="40">
        <f>D66+E66+F66+G66</f>
        <v>220</v>
      </c>
      <c r="D66" s="28">
        <v>19</v>
      </c>
      <c r="E66" s="28">
        <v>0</v>
      </c>
      <c r="F66" s="28">
        <v>201</v>
      </c>
      <c r="G66" s="29">
        <v>0</v>
      </c>
      <c r="H66" s="116">
        <f t="shared" si="0"/>
        <v>0</v>
      </c>
      <c r="I66" s="29">
        <v>0</v>
      </c>
      <c r="J66" s="40">
        <v>220</v>
      </c>
      <c r="K66" s="44"/>
      <c r="L66" s="22"/>
      <c r="M66" s="22"/>
      <c r="IK66" s="20"/>
      <c r="IL66" s="20"/>
      <c r="IM66" s="20"/>
      <c r="IN66" s="20"/>
      <c r="IO66" s="20"/>
    </row>
    <row r="67" spans="1:249" s="18" customFormat="1" ht="18" customHeight="1" hidden="1">
      <c r="A67" s="30" t="s">
        <v>17</v>
      </c>
      <c r="B67" s="21"/>
      <c r="C67" s="40">
        <f>D67+E67+F67+G67</f>
        <v>1439</v>
      </c>
      <c r="D67" s="28">
        <v>125</v>
      </c>
      <c r="E67" s="28">
        <v>0</v>
      </c>
      <c r="F67" s="28">
        <v>1314</v>
      </c>
      <c r="G67" s="29">
        <v>0</v>
      </c>
      <c r="H67" s="116">
        <f t="shared" si="0"/>
        <v>0</v>
      </c>
      <c r="I67" s="29">
        <v>0</v>
      </c>
      <c r="J67" s="40">
        <v>1439</v>
      </c>
      <c r="K67" s="44"/>
      <c r="L67" s="22"/>
      <c r="M67" s="22"/>
      <c r="IK67" s="20"/>
      <c r="IL67" s="20"/>
      <c r="IM67" s="20"/>
      <c r="IN67" s="20"/>
      <c r="IO67" s="20"/>
    </row>
    <row r="68" spans="1:249" s="18" customFormat="1" ht="18" customHeight="1" hidden="1">
      <c r="A68" s="30" t="s">
        <v>18</v>
      </c>
      <c r="B68" s="21"/>
      <c r="C68" s="40">
        <f>D68+E68+F68+G68</f>
        <v>0</v>
      </c>
      <c r="D68" s="28">
        <v>0</v>
      </c>
      <c r="E68" s="28">
        <v>0</v>
      </c>
      <c r="F68" s="28">
        <v>0</v>
      </c>
      <c r="G68" s="29">
        <v>0</v>
      </c>
      <c r="H68" s="116">
        <f t="shared" si="0"/>
        <v>0</v>
      </c>
      <c r="I68" s="29">
        <v>0</v>
      </c>
      <c r="J68" s="40">
        <v>0</v>
      </c>
      <c r="K68" s="44"/>
      <c r="L68" s="22"/>
      <c r="M68" s="22"/>
      <c r="IK68" s="20"/>
      <c r="IL68" s="20"/>
      <c r="IM68" s="20"/>
      <c r="IN68" s="20"/>
      <c r="IO68" s="20"/>
    </row>
    <row r="69" spans="1:249" s="18" customFormat="1" ht="15.75" customHeight="1" hidden="1">
      <c r="A69" s="34" t="s">
        <v>19</v>
      </c>
      <c r="B69" s="21"/>
      <c r="C69" s="47">
        <f>D69+E69+F69+G69</f>
        <v>34</v>
      </c>
      <c r="D69" s="28">
        <v>3</v>
      </c>
      <c r="E69" s="28">
        <v>0</v>
      </c>
      <c r="F69" s="28">
        <v>31</v>
      </c>
      <c r="G69" s="29">
        <v>0</v>
      </c>
      <c r="H69" s="116">
        <f t="shared" si="0"/>
        <v>0</v>
      </c>
      <c r="I69" s="29">
        <v>0</v>
      </c>
      <c r="J69" s="47">
        <v>34</v>
      </c>
      <c r="K69" s="44"/>
      <c r="L69" s="22"/>
      <c r="M69" s="22"/>
      <c r="IK69" s="20"/>
      <c r="IL69" s="20"/>
      <c r="IM69" s="20"/>
      <c r="IN69" s="20"/>
      <c r="IO69" s="20"/>
    </row>
    <row r="70" spans="1:249" s="18" customFormat="1" ht="31.5" customHeight="1">
      <c r="A70" s="21" t="s">
        <v>11</v>
      </c>
      <c r="B70" s="45" t="s">
        <v>25</v>
      </c>
      <c r="C70" s="32">
        <f>C71+C72+C73</f>
        <v>3802</v>
      </c>
      <c r="D70" s="24">
        <f>D71+D72++D73</f>
        <v>159</v>
      </c>
      <c r="E70" s="24">
        <v>0</v>
      </c>
      <c r="F70" s="24">
        <f>F71+F72++F73</f>
        <v>1683</v>
      </c>
      <c r="G70" s="24">
        <f>G71+G72++G73</f>
        <v>1960</v>
      </c>
      <c r="H70" s="116">
        <f t="shared" si="0"/>
        <v>0</v>
      </c>
      <c r="I70" s="24">
        <f>I71+I72++I73</f>
        <v>1960</v>
      </c>
      <c r="J70" s="32">
        <v>3802</v>
      </c>
      <c r="K70" s="44"/>
      <c r="L70" s="22"/>
      <c r="M70" s="22"/>
      <c r="IK70" s="20"/>
      <c r="IL70" s="20"/>
      <c r="IM70" s="20"/>
      <c r="IN70" s="20"/>
      <c r="IO70" s="20"/>
    </row>
    <row r="71" spans="1:249" s="18" customFormat="1" ht="18" customHeight="1">
      <c r="A71" s="26" t="s">
        <v>13</v>
      </c>
      <c r="B71" s="124"/>
      <c r="C71" s="28">
        <f>D71+E71+F71+G71</f>
        <v>571</v>
      </c>
      <c r="D71" s="28">
        <v>24</v>
      </c>
      <c r="E71" s="28">
        <v>0</v>
      </c>
      <c r="F71" s="28">
        <v>253</v>
      </c>
      <c r="G71" s="29">
        <v>294</v>
      </c>
      <c r="H71" s="116">
        <f t="shared" si="0"/>
        <v>0</v>
      </c>
      <c r="I71" s="29">
        <v>294</v>
      </c>
      <c r="J71" s="28">
        <v>571</v>
      </c>
      <c r="K71" s="44"/>
      <c r="L71" s="22"/>
      <c r="M71" s="22"/>
      <c r="IK71" s="20"/>
      <c r="IL71" s="20"/>
      <c r="IM71" s="20"/>
      <c r="IN71" s="20"/>
      <c r="IO71" s="20"/>
    </row>
    <row r="72" spans="1:249" s="18" customFormat="1" ht="15.75" customHeight="1">
      <c r="A72" s="30" t="s">
        <v>14</v>
      </c>
      <c r="B72" s="124"/>
      <c r="C72" s="28">
        <f>D72+E72+F72+G72</f>
        <v>3231</v>
      </c>
      <c r="D72" s="28">
        <v>135</v>
      </c>
      <c r="E72" s="28">
        <v>0</v>
      </c>
      <c r="F72" s="28">
        <v>1430</v>
      </c>
      <c r="G72" s="29">
        <v>1666</v>
      </c>
      <c r="H72" s="116">
        <f t="shared" si="0"/>
        <v>0</v>
      </c>
      <c r="I72" s="29">
        <v>1666</v>
      </c>
      <c r="J72" s="28">
        <v>3231</v>
      </c>
      <c r="K72" s="44"/>
      <c r="L72" s="22"/>
      <c r="M72" s="22"/>
      <c r="IK72" s="20"/>
      <c r="IL72" s="20"/>
      <c r="IM72" s="20"/>
      <c r="IN72" s="20"/>
      <c r="IO72" s="20"/>
    </row>
    <row r="73" spans="1:249" s="18" customFormat="1" ht="16.5" customHeight="1">
      <c r="A73" s="30" t="s">
        <v>15</v>
      </c>
      <c r="B73" s="124"/>
      <c r="C73" s="28">
        <f>D73+E73+F73+G73</f>
        <v>0</v>
      </c>
      <c r="D73" s="28">
        <v>0</v>
      </c>
      <c r="E73" s="28">
        <v>0</v>
      </c>
      <c r="F73" s="28">
        <v>0</v>
      </c>
      <c r="G73" s="29">
        <v>0</v>
      </c>
      <c r="H73" s="116">
        <f t="shared" si="0"/>
        <v>0</v>
      </c>
      <c r="I73" s="29">
        <v>0</v>
      </c>
      <c r="J73" s="28">
        <v>0</v>
      </c>
      <c r="K73" s="44"/>
      <c r="L73" s="22"/>
      <c r="M73" s="22"/>
      <c r="IK73" s="20"/>
      <c r="IL73" s="20"/>
      <c r="IM73" s="20"/>
      <c r="IN73" s="20"/>
      <c r="IO73" s="20"/>
    </row>
    <row r="74" spans="1:249" s="18" customFormat="1" ht="18" customHeight="1" hidden="1">
      <c r="A74" s="30"/>
      <c r="B74" s="21"/>
      <c r="C74" s="28"/>
      <c r="D74" s="28"/>
      <c r="E74" s="28"/>
      <c r="F74" s="28"/>
      <c r="G74" s="29"/>
      <c r="H74" s="116">
        <f t="shared" si="0"/>
        <v>0</v>
      </c>
      <c r="I74" s="29"/>
      <c r="J74" s="28"/>
      <c r="K74" s="44"/>
      <c r="L74" s="22"/>
      <c r="M74" s="22"/>
      <c r="IK74" s="20"/>
      <c r="IL74" s="20"/>
      <c r="IM74" s="20"/>
      <c r="IN74" s="20"/>
      <c r="IO74" s="20"/>
    </row>
    <row r="75" spans="1:249" s="18" customFormat="1" ht="18" customHeight="1" hidden="1">
      <c r="A75" s="31"/>
      <c r="B75" s="21"/>
      <c r="C75" s="32">
        <f>C76+C77+C78+C79</f>
        <v>3802</v>
      </c>
      <c r="D75" s="32">
        <f>D76+D77+D78+D79</f>
        <v>159</v>
      </c>
      <c r="E75" s="32">
        <v>0</v>
      </c>
      <c r="F75" s="32">
        <f>F76+F77+F78+F79</f>
        <v>1683</v>
      </c>
      <c r="G75" s="32">
        <f>G76+G77+G78+G79</f>
        <v>1960</v>
      </c>
      <c r="H75" s="116">
        <f t="shared" si="0"/>
        <v>0</v>
      </c>
      <c r="I75" s="32">
        <f>I76+I77+I78+I79</f>
        <v>1960</v>
      </c>
      <c r="J75" s="32">
        <v>3802</v>
      </c>
      <c r="K75" s="44"/>
      <c r="L75" s="22"/>
      <c r="M75" s="22"/>
      <c r="IK75" s="20"/>
      <c r="IL75" s="20"/>
      <c r="IM75" s="20"/>
      <c r="IN75" s="20"/>
      <c r="IO75" s="20"/>
    </row>
    <row r="76" spans="1:249" s="18" customFormat="1" ht="18" customHeight="1" hidden="1">
      <c r="A76" s="30" t="s">
        <v>16</v>
      </c>
      <c r="B76" s="21"/>
      <c r="C76" s="40">
        <f>D76+E76+F76+G76</f>
        <v>495</v>
      </c>
      <c r="D76" s="28">
        <v>21</v>
      </c>
      <c r="E76" s="28">
        <v>0</v>
      </c>
      <c r="F76" s="28">
        <v>219</v>
      </c>
      <c r="G76" s="29">
        <v>255</v>
      </c>
      <c r="H76" s="116">
        <f t="shared" si="0"/>
        <v>0</v>
      </c>
      <c r="I76" s="29">
        <v>255</v>
      </c>
      <c r="J76" s="40">
        <v>495</v>
      </c>
      <c r="K76" s="44"/>
      <c r="L76" s="22"/>
      <c r="M76" s="22"/>
      <c r="IK76" s="20"/>
      <c r="IL76" s="20"/>
      <c r="IM76" s="20"/>
      <c r="IN76" s="20"/>
      <c r="IO76" s="20"/>
    </row>
    <row r="77" spans="1:249" s="18" customFormat="1" ht="18" customHeight="1" hidden="1">
      <c r="A77" s="30" t="s">
        <v>17</v>
      </c>
      <c r="B77" s="21"/>
      <c r="C77" s="40">
        <f>D77+E77+F77+G77</f>
        <v>3231</v>
      </c>
      <c r="D77" s="28">
        <v>135</v>
      </c>
      <c r="E77" s="28">
        <v>0</v>
      </c>
      <c r="F77" s="28">
        <v>1430</v>
      </c>
      <c r="G77" s="29">
        <v>1666</v>
      </c>
      <c r="H77" s="116">
        <f t="shared" si="0"/>
        <v>0</v>
      </c>
      <c r="I77" s="29">
        <v>1666</v>
      </c>
      <c r="J77" s="40">
        <v>3231</v>
      </c>
      <c r="K77" s="44"/>
      <c r="L77" s="22"/>
      <c r="M77" s="22"/>
      <c r="IK77" s="20"/>
      <c r="IL77" s="20"/>
      <c r="IM77" s="20"/>
      <c r="IN77" s="20"/>
      <c r="IO77" s="20"/>
    </row>
    <row r="78" spans="1:249" s="18" customFormat="1" ht="18" customHeight="1" hidden="1">
      <c r="A78" s="30" t="s">
        <v>18</v>
      </c>
      <c r="B78" s="21"/>
      <c r="C78" s="40">
        <v>0</v>
      </c>
      <c r="D78" s="28">
        <v>0</v>
      </c>
      <c r="E78" s="28">
        <v>0</v>
      </c>
      <c r="F78" s="28">
        <v>0</v>
      </c>
      <c r="G78" s="29">
        <v>0</v>
      </c>
      <c r="H78" s="116">
        <f t="shared" si="0"/>
        <v>0</v>
      </c>
      <c r="I78" s="29">
        <v>0</v>
      </c>
      <c r="J78" s="40">
        <v>0</v>
      </c>
      <c r="K78" s="44"/>
      <c r="L78" s="22"/>
      <c r="M78" s="22"/>
      <c r="IK78" s="20"/>
      <c r="IL78" s="20"/>
      <c r="IM78" s="20"/>
      <c r="IN78" s="20"/>
      <c r="IO78" s="20"/>
    </row>
    <row r="79" spans="1:249" s="18" customFormat="1" ht="14.25" hidden="1">
      <c r="A79" s="34" t="s">
        <v>19</v>
      </c>
      <c r="B79" s="21"/>
      <c r="C79" s="49">
        <f>D79+E79+F79+G79</f>
        <v>76</v>
      </c>
      <c r="D79" s="28">
        <v>3</v>
      </c>
      <c r="E79" s="28">
        <v>0</v>
      </c>
      <c r="F79" s="28">
        <v>34</v>
      </c>
      <c r="G79" s="29">
        <v>39</v>
      </c>
      <c r="H79" s="116">
        <f t="shared" si="0"/>
        <v>0</v>
      </c>
      <c r="I79" s="29">
        <v>39</v>
      </c>
      <c r="J79" s="49">
        <v>76</v>
      </c>
      <c r="K79" s="44"/>
      <c r="L79" s="22"/>
      <c r="M79" s="22"/>
      <c r="IK79" s="20"/>
      <c r="IL79" s="20"/>
      <c r="IM79" s="20"/>
      <c r="IN79" s="20"/>
      <c r="IO79" s="20"/>
    </row>
    <row r="80" spans="1:249" s="52" customFormat="1" ht="31.5" customHeight="1">
      <c r="A80" s="50" t="s">
        <v>26</v>
      </c>
      <c r="B80" s="21" t="s">
        <v>27</v>
      </c>
      <c r="C80" s="23">
        <f>D80+E80+F80+G80</f>
        <v>5642</v>
      </c>
      <c r="D80" s="23">
        <f>D81+D82+D83</f>
        <v>1487</v>
      </c>
      <c r="E80" s="23">
        <f>E81+E82+E83</f>
        <v>1780</v>
      </c>
      <c r="F80" s="23">
        <f>F81+F82+F83</f>
        <v>1385</v>
      </c>
      <c r="G80" s="23">
        <f>G81+G82+G83</f>
        <v>990</v>
      </c>
      <c r="H80" s="116">
        <f t="shared" si="0"/>
        <v>0</v>
      </c>
      <c r="I80" s="23">
        <f>I81+I82+I83</f>
        <v>990</v>
      </c>
      <c r="J80" s="23">
        <v>5642</v>
      </c>
      <c r="K80" s="51">
        <f>K81+K83</f>
        <v>0</v>
      </c>
      <c r="L80" s="51">
        <f>L81+L83</f>
        <v>8</v>
      </c>
      <c r="M80" s="51">
        <f>M81+M83</f>
        <v>0</v>
      </c>
      <c r="N80" s="51">
        <f>N81+N83</f>
        <v>2001</v>
      </c>
      <c r="IK80" s="53"/>
      <c r="IL80" s="53"/>
      <c r="IM80" s="53"/>
      <c r="IN80" s="53"/>
      <c r="IO80" s="53"/>
    </row>
    <row r="81" spans="1:249" s="52" customFormat="1" ht="16.5" customHeight="1">
      <c r="A81" s="26" t="s">
        <v>13</v>
      </c>
      <c r="B81" s="125"/>
      <c r="C81" s="54">
        <f>(D81+E81+F81+G81)</f>
        <v>792</v>
      </c>
      <c r="D81" s="54">
        <v>223</v>
      </c>
      <c r="E81" s="54">
        <v>267</v>
      </c>
      <c r="F81" s="54">
        <v>161</v>
      </c>
      <c r="G81" s="54">
        <v>141</v>
      </c>
      <c r="H81" s="116">
        <f t="shared" si="0"/>
        <v>0</v>
      </c>
      <c r="I81" s="54">
        <v>141</v>
      </c>
      <c r="J81" s="54">
        <v>792</v>
      </c>
      <c r="K81" s="128"/>
      <c r="L81" s="128">
        <v>8</v>
      </c>
      <c r="M81" s="129">
        <v>0</v>
      </c>
      <c r="N81" s="129">
        <v>1994</v>
      </c>
      <c r="O81" s="4"/>
      <c r="IK81" s="53"/>
      <c r="IL81" s="53"/>
      <c r="IM81" s="53"/>
      <c r="IN81" s="53"/>
      <c r="IO81" s="53"/>
    </row>
    <row r="82" spans="1:249" s="52" customFormat="1" ht="16.5" customHeight="1">
      <c r="A82" s="30" t="s">
        <v>14</v>
      </c>
      <c r="B82" s="125"/>
      <c r="C82" s="54">
        <f>D82+E82+F82+G82</f>
        <v>4756</v>
      </c>
      <c r="D82" s="54">
        <v>1264</v>
      </c>
      <c r="E82" s="54">
        <v>1513</v>
      </c>
      <c r="F82" s="54">
        <v>1177</v>
      </c>
      <c r="G82" s="54">
        <v>802</v>
      </c>
      <c r="H82" s="116">
        <f t="shared" si="0"/>
        <v>0</v>
      </c>
      <c r="I82" s="54">
        <v>802</v>
      </c>
      <c r="J82" s="54">
        <v>4756</v>
      </c>
      <c r="K82" s="128"/>
      <c r="L82" s="128"/>
      <c r="M82" s="128"/>
      <c r="N82" s="129"/>
      <c r="IK82" s="53"/>
      <c r="IL82" s="53"/>
      <c r="IM82" s="53"/>
      <c r="IN82" s="53"/>
      <c r="IO82" s="53"/>
    </row>
    <row r="83" spans="1:249" s="52" customFormat="1" ht="25.5" customHeight="1">
      <c r="A83" s="30" t="s">
        <v>15</v>
      </c>
      <c r="B83" s="125"/>
      <c r="C83" s="54">
        <f>D83+E83+F83+G83</f>
        <v>94</v>
      </c>
      <c r="D83" s="54">
        <f>K83</f>
        <v>0</v>
      </c>
      <c r="E83" s="54"/>
      <c r="F83" s="54">
        <v>47</v>
      </c>
      <c r="G83" s="54">
        <v>47</v>
      </c>
      <c r="H83" s="116">
        <f t="shared" si="0"/>
        <v>0</v>
      </c>
      <c r="I83" s="54">
        <v>47</v>
      </c>
      <c r="J83" s="54">
        <v>94</v>
      </c>
      <c r="K83" s="51"/>
      <c r="L83" s="51"/>
      <c r="M83" s="51">
        <v>0</v>
      </c>
      <c r="N83" s="52">
        <v>7</v>
      </c>
      <c r="IK83" s="53"/>
      <c r="IL83" s="53"/>
      <c r="IM83" s="53"/>
      <c r="IN83" s="53"/>
      <c r="IO83" s="53"/>
    </row>
    <row r="84" spans="1:249" s="52" customFormat="1" ht="16.5" customHeight="1" hidden="1">
      <c r="A84" s="30"/>
      <c r="B84" s="39"/>
      <c r="C84" s="54"/>
      <c r="D84" s="54"/>
      <c r="E84" s="54"/>
      <c r="F84" s="54"/>
      <c r="G84" s="54"/>
      <c r="H84" s="116">
        <f t="shared" si="0"/>
        <v>0</v>
      </c>
      <c r="I84" s="54"/>
      <c r="J84" s="54"/>
      <c r="K84" s="55"/>
      <c r="L84" s="56"/>
      <c r="M84" s="56"/>
      <c r="IK84" s="53"/>
      <c r="IL84" s="53"/>
      <c r="IM84" s="53"/>
      <c r="IN84" s="53"/>
      <c r="IO84" s="53"/>
    </row>
    <row r="85" spans="1:249" s="60" customFormat="1" ht="16.5" customHeight="1" hidden="1">
      <c r="A85" s="31"/>
      <c r="B85" s="45"/>
      <c r="C85" s="57">
        <f>C86+C87+C88+C90+C89</f>
        <v>5642</v>
      </c>
      <c r="D85" s="57">
        <f>D86+D87+D88+D90+D89</f>
        <v>1487</v>
      </c>
      <c r="E85" s="57">
        <f>E86+E87+E88+E90+E89</f>
        <v>1780</v>
      </c>
      <c r="F85" s="57">
        <f>F86+F87+F88+F90+F89</f>
        <v>1385</v>
      </c>
      <c r="G85" s="57">
        <f>G86+G87+G88+G90+G89</f>
        <v>990</v>
      </c>
      <c r="H85" s="116">
        <f t="shared" si="0"/>
        <v>0</v>
      </c>
      <c r="I85" s="57">
        <f>I86+I87+I88+I90+I89</f>
        <v>990</v>
      </c>
      <c r="J85" s="57">
        <v>5642</v>
      </c>
      <c r="K85" s="58"/>
      <c r="L85" s="59"/>
      <c r="M85" s="59"/>
      <c r="IK85" s="61"/>
      <c r="IL85" s="61"/>
      <c r="IM85" s="61"/>
      <c r="IN85" s="61"/>
      <c r="IO85" s="61"/>
    </row>
    <row r="86" spans="1:249" s="52" customFormat="1" ht="16.5" customHeight="1" hidden="1">
      <c r="A86" s="30" t="s">
        <v>16</v>
      </c>
      <c r="B86" s="39"/>
      <c r="C86" s="62">
        <f aca="true" t="shared" si="1" ref="C86:C94">D86+E86+F86+G86</f>
        <v>786</v>
      </c>
      <c r="D86" s="62">
        <v>219</v>
      </c>
      <c r="E86" s="62">
        <v>231</v>
      </c>
      <c r="F86" s="62">
        <v>197</v>
      </c>
      <c r="G86" s="62">
        <v>139</v>
      </c>
      <c r="H86" s="116">
        <f t="shared" si="0"/>
        <v>0</v>
      </c>
      <c r="I86" s="62">
        <v>139</v>
      </c>
      <c r="J86" s="62">
        <v>786</v>
      </c>
      <c r="K86" s="55"/>
      <c r="L86" s="56"/>
      <c r="M86" s="56"/>
      <c r="IK86" s="53"/>
      <c r="IL86" s="53"/>
      <c r="IM86" s="53"/>
      <c r="IN86" s="53"/>
      <c r="IO86" s="53"/>
    </row>
    <row r="87" spans="1:249" s="52" customFormat="1" ht="16.5" customHeight="1" hidden="1">
      <c r="A87" s="30" t="s">
        <v>17</v>
      </c>
      <c r="B87" s="39"/>
      <c r="C87" s="62">
        <f t="shared" si="1"/>
        <v>4650</v>
      </c>
      <c r="D87" s="62">
        <v>1238</v>
      </c>
      <c r="E87" s="62">
        <v>1513</v>
      </c>
      <c r="F87" s="62">
        <v>1114</v>
      </c>
      <c r="G87" s="62">
        <v>785</v>
      </c>
      <c r="H87" s="116">
        <f t="shared" si="0"/>
        <v>0</v>
      </c>
      <c r="I87" s="62">
        <v>785</v>
      </c>
      <c r="J87" s="62">
        <v>4650</v>
      </c>
      <c r="K87" s="55"/>
      <c r="L87" s="56"/>
      <c r="M87" s="56"/>
      <c r="IK87" s="53"/>
      <c r="IL87" s="53"/>
      <c r="IM87" s="53"/>
      <c r="IN87" s="53"/>
      <c r="IO87" s="53"/>
    </row>
    <row r="88" spans="1:249" s="52" customFormat="1" ht="16.5" customHeight="1" hidden="1">
      <c r="A88" s="30" t="s">
        <v>18</v>
      </c>
      <c r="B88" s="39"/>
      <c r="C88" s="62">
        <f t="shared" si="1"/>
        <v>0</v>
      </c>
      <c r="D88" s="62"/>
      <c r="E88" s="62"/>
      <c r="F88" s="62"/>
      <c r="G88" s="62"/>
      <c r="H88" s="116">
        <f t="shared" si="0"/>
        <v>0</v>
      </c>
      <c r="I88" s="62"/>
      <c r="J88" s="62">
        <v>0</v>
      </c>
      <c r="K88" s="55"/>
      <c r="L88" s="56"/>
      <c r="M88" s="56"/>
      <c r="IK88" s="53"/>
      <c r="IL88" s="53"/>
      <c r="IM88" s="53"/>
      <c r="IN88" s="53"/>
      <c r="IO88" s="53"/>
    </row>
    <row r="89" spans="1:249" s="52" customFormat="1" ht="16.5" customHeight="1" hidden="1">
      <c r="A89" s="30" t="s">
        <v>28</v>
      </c>
      <c r="B89" s="39"/>
      <c r="C89" s="62">
        <f t="shared" si="1"/>
        <v>0</v>
      </c>
      <c r="D89" s="62"/>
      <c r="E89" s="62"/>
      <c r="F89" s="62"/>
      <c r="G89" s="62"/>
      <c r="H89" s="116">
        <f t="shared" si="0"/>
        <v>0</v>
      </c>
      <c r="I89" s="62"/>
      <c r="J89" s="62">
        <v>0</v>
      </c>
      <c r="K89" s="55"/>
      <c r="L89" s="56"/>
      <c r="M89" s="56"/>
      <c r="IK89" s="53"/>
      <c r="IL89" s="53"/>
      <c r="IM89" s="53"/>
      <c r="IN89" s="53"/>
      <c r="IO89" s="53"/>
    </row>
    <row r="90" spans="1:249" s="65" customFormat="1" ht="14.25" hidden="1">
      <c r="A90" s="34" t="s">
        <v>19</v>
      </c>
      <c r="B90" s="63"/>
      <c r="C90" s="64">
        <f t="shared" si="1"/>
        <v>206</v>
      </c>
      <c r="D90" s="62">
        <v>30</v>
      </c>
      <c r="E90" s="62">
        <v>36</v>
      </c>
      <c r="F90" s="62">
        <f>47+27</f>
        <v>74</v>
      </c>
      <c r="G90" s="62">
        <f>47+19</f>
        <v>66</v>
      </c>
      <c r="H90" s="116">
        <f t="shared" si="0"/>
        <v>0</v>
      </c>
      <c r="I90" s="62">
        <f>47+19</f>
        <v>66</v>
      </c>
      <c r="J90" s="64">
        <v>206</v>
      </c>
      <c r="K90" s="55"/>
      <c r="L90" s="55"/>
      <c r="M90" s="55"/>
      <c r="IK90" s="66"/>
      <c r="IL90" s="66"/>
      <c r="IM90" s="66"/>
      <c r="IN90" s="66"/>
      <c r="IO90" s="66"/>
    </row>
    <row r="91" spans="1:249" s="52" customFormat="1" ht="46.5" customHeight="1">
      <c r="A91" s="50" t="s">
        <v>26</v>
      </c>
      <c r="B91" s="21" t="s">
        <v>29</v>
      </c>
      <c r="C91" s="23">
        <f t="shared" si="1"/>
        <v>1832</v>
      </c>
      <c r="D91" s="23">
        <f>D92+D93+D94</f>
        <v>10</v>
      </c>
      <c r="E91" s="23">
        <f>E92+E93+E94</f>
        <v>1095</v>
      </c>
      <c r="F91" s="23">
        <f>F92+F93+F94</f>
        <v>365</v>
      </c>
      <c r="G91" s="23">
        <f>G92+G93+G94</f>
        <v>362</v>
      </c>
      <c r="H91" s="116">
        <f t="shared" si="0"/>
        <v>0</v>
      </c>
      <c r="I91" s="23">
        <f>I92+I93+I94</f>
        <v>362</v>
      </c>
      <c r="J91" s="23">
        <v>1832</v>
      </c>
      <c r="K91" s="67">
        <f>K92+K94</f>
        <v>0</v>
      </c>
      <c r="L91" s="67">
        <f>L92+L94</f>
        <v>8</v>
      </c>
      <c r="M91" s="67">
        <f>M92+M94</f>
        <v>0</v>
      </c>
      <c r="N91" s="67">
        <f>N92+N94</f>
        <v>645</v>
      </c>
      <c r="IK91" s="53"/>
      <c r="IL91" s="53"/>
      <c r="IM91" s="53"/>
      <c r="IN91" s="53"/>
      <c r="IO91" s="53"/>
    </row>
    <row r="92" spans="1:249" s="52" customFormat="1" ht="16.5" customHeight="1">
      <c r="A92" s="26" t="s">
        <v>13</v>
      </c>
      <c r="B92" s="124"/>
      <c r="C92" s="54">
        <f t="shared" si="1"/>
        <v>273</v>
      </c>
      <c r="D92" s="62">
        <v>2</v>
      </c>
      <c r="E92" s="54">
        <v>164</v>
      </c>
      <c r="F92" s="54">
        <v>54</v>
      </c>
      <c r="G92" s="54">
        <v>53</v>
      </c>
      <c r="H92" s="116">
        <f t="shared" si="0"/>
        <v>0</v>
      </c>
      <c r="I92" s="54">
        <v>53</v>
      </c>
      <c r="J92" s="54">
        <v>273</v>
      </c>
      <c r="K92" s="126"/>
      <c r="L92" s="126">
        <v>8</v>
      </c>
      <c r="M92" s="127">
        <v>0</v>
      </c>
      <c r="N92" s="127">
        <v>643</v>
      </c>
      <c r="IK92" s="53"/>
      <c r="IL92" s="53"/>
      <c r="IM92" s="53"/>
      <c r="IN92" s="53"/>
      <c r="IO92" s="53"/>
    </row>
    <row r="93" spans="1:249" s="52" customFormat="1" ht="16.5" customHeight="1">
      <c r="A93" s="30" t="s">
        <v>14</v>
      </c>
      <c r="B93" s="124"/>
      <c r="C93" s="54">
        <f t="shared" si="1"/>
        <v>1549</v>
      </c>
      <c r="D93" s="62">
        <v>7</v>
      </c>
      <c r="E93" s="54">
        <v>929</v>
      </c>
      <c r="F93" s="62">
        <v>307</v>
      </c>
      <c r="G93" s="54">
        <v>306</v>
      </c>
      <c r="H93" s="116">
        <f t="shared" si="0"/>
        <v>0</v>
      </c>
      <c r="I93" s="54">
        <v>306</v>
      </c>
      <c r="J93" s="54">
        <v>1549</v>
      </c>
      <c r="K93" s="126"/>
      <c r="L93" s="126"/>
      <c r="M93" s="126"/>
      <c r="N93" s="127"/>
      <c r="IK93" s="53"/>
      <c r="IL93" s="53"/>
      <c r="IM93" s="53"/>
      <c r="IN93" s="53"/>
      <c r="IO93" s="53"/>
    </row>
    <row r="94" spans="1:249" s="52" customFormat="1" ht="16.5" customHeight="1">
      <c r="A94" s="30" t="s">
        <v>15</v>
      </c>
      <c r="B94" s="124"/>
      <c r="C94" s="54">
        <f t="shared" si="1"/>
        <v>10</v>
      </c>
      <c r="D94" s="54">
        <v>1</v>
      </c>
      <c r="E94" s="54">
        <v>2</v>
      </c>
      <c r="F94" s="54">
        <v>4</v>
      </c>
      <c r="G94" s="54">
        <v>3</v>
      </c>
      <c r="H94" s="116">
        <f t="shared" si="0"/>
        <v>0</v>
      </c>
      <c r="I94" s="54">
        <v>3</v>
      </c>
      <c r="J94" s="54">
        <v>10</v>
      </c>
      <c r="K94" s="67"/>
      <c r="L94" s="67"/>
      <c r="M94" s="67">
        <v>0</v>
      </c>
      <c r="N94" s="68">
        <v>2</v>
      </c>
      <c r="IK94" s="53"/>
      <c r="IL94" s="53"/>
      <c r="IM94" s="53"/>
      <c r="IN94" s="53"/>
      <c r="IO94" s="53"/>
    </row>
    <row r="95" spans="1:249" s="52" customFormat="1" ht="16.5" customHeight="1" hidden="1">
      <c r="A95" s="30"/>
      <c r="B95" s="39"/>
      <c r="C95" s="54"/>
      <c r="D95" s="54"/>
      <c r="E95" s="54"/>
      <c r="F95" s="54"/>
      <c r="G95" s="54"/>
      <c r="H95" s="116">
        <f t="shared" si="0"/>
        <v>0</v>
      </c>
      <c r="I95" s="54"/>
      <c r="J95" s="54"/>
      <c r="K95" s="69"/>
      <c r="L95" s="70"/>
      <c r="M95" s="70"/>
      <c r="N95" s="68"/>
      <c r="IK95" s="53"/>
      <c r="IL95" s="53"/>
      <c r="IM95" s="53"/>
      <c r="IN95" s="53"/>
      <c r="IO95" s="53"/>
    </row>
    <row r="96" spans="1:249" s="60" customFormat="1" ht="16.5" customHeight="1" hidden="1">
      <c r="A96" s="31"/>
      <c r="B96" s="45"/>
      <c r="C96" s="71">
        <f>C97+C98+C99+C101+C100</f>
        <v>1832.1</v>
      </c>
      <c r="D96" s="57">
        <f>D97+D98+D99+D101+D100</f>
        <v>10</v>
      </c>
      <c r="E96" s="57">
        <f>E97+E98+E99+E101+E100</f>
        <v>1095</v>
      </c>
      <c r="F96" s="57">
        <f>F97+F98+F99+F101+F100</f>
        <v>365</v>
      </c>
      <c r="G96" s="57">
        <f>G97+G98+G99+G101+G100</f>
        <v>362</v>
      </c>
      <c r="H96" s="116">
        <f t="shared" si="0"/>
        <v>0</v>
      </c>
      <c r="I96" s="57">
        <f>I97+I98+I99+I101+I100</f>
        <v>362</v>
      </c>
      <c r="J96" s="71">
        <v>1832.1</v>
      </c>
      <c r="K96" s="72"/>
      <c r="L96" s="73"/>
      <c r="M96" s="73"/>
      <c r="N96" s="74"/>
      <c r="IK96" s="61"/>
      <c r="IL96" s="61"/>
      <c r="IM96" s="61"/>
      <c r="IN96" s="61"/>
      <c r="IO96" s="61"/>
    </row>
    <row r="97" spans="1:249" s="52" customFormat="1" ht="16.5" customHeight="1" hidden="1">
      <c r="A97" s="30" t="s">
        <v>16</v>
      </c>
      <c r="B97" s="39"/>
      <c r="C97" s="54">
        <f>D97+E97+F97+G97</f>
        <v>237</v>
      </c>
      <c r="D97" s="62">
        <v>1</v>
      </c>
      <c r="E97" s="62">
        <v>142</v>
      </c>
      <c r="F97" s="62">
        <v>47</v>
      </c>
      <c r="G97" s="62">
        <v>47</v>
      </c>
      <c r="H97" s="116">
        <f t="shared" si="0"/>
        <v>0</v>
      </c>
      <c r="I97" s="62">
        <v>47</v>
      </c>
      <c r="J97" s="54">
        <v>237</v>
      </c>
      <c r="K97" s="69"/>
      <c r="L97" s="70"/>
      <c r="M97" s="70"/>
      <c r="N97" s="68"/>
      <c r="IK97" s="53"/>
      <c r="IL97" s="53"/>
      <c r="IM97" s="53"/>
      <c r="IN97" s="53"/>
      <c r="IO97" s="53"/>
    </row>
    <row r="98" spans="1:249" s="52" customFormat="1" ht="16.5" customHeight="1" hidden="1">
      <c r="A98" s="30" t="s">
        <v>17</v>
      </c>
      <c r="B98" s="39"/>
      <c r="C98" s="62">
        <f>D98+E98+F98+G98+0.1</f>
        <v>1549.1</v>
      </c>
      <c r="D98" s="62">
        <v>8</v>
      </c>
      <c r="E98" s="62">
        <v>929</v>
      </c>
      <c r="F98" s="62">
        <v>307</v>
      </c>
      <c r="G98" s="62">
        <v>305</v>
      </c>
      <c r="H98" s="116">
        <f t="shared" si="0"/>
        <v>0</v>
      </c>
      <c r="I98" s="62">
        <v>305</v>
      </c>
      <c r="J98" s="62">
        <v>1549.1</v>
      </c>
      <c r="K98" s="69"/>
      <c r="L98" s="70"/>
      <c r="M98" s="70"/>
      <c r="N98" s="68"/>
      <c r="IK98" s="53"/>
      <c r="IL98" s="53"/>
      <c r="IM98" s="53"/>
      <c r="IN98" s="53"/>
      <c r="IO98" s="53"/>
    </row>
    <row r="99" spans="1:249" s="52" customFormat="1" ht="16.5" customHeight="1" hidden="1">
      <c r="A99" s="30" t="s">
        <v>18</v>
      </c>
      <c r="B99" s="39" t="s">
        <v>30</v>
      </c>
      <c r="C99" s="62">
        <f>D99+E99+F99+G99</f>
        <v>0</v>
      </c>
      <c r="D99" s="62">
        <v>0</v>
      </c>
      <c r="E99" s="62">
        <v>0</v>
      </c>
      <c r="F99" s="62">
        <v>0</v>
      </c>
      <c r="G99" s="62">
        <v>0</v>
      </c>
      <c r="H99" s="116">
        <f t="shared" si="0"/>
        <v>0</v>
      </c>
      <c r="I99" s="62">
        <v>0</v>
      </c>
      <c r="J99" s="62">
        <v>0</v>
      </c>
      <c r="K99" s="69"/>
      <c r="L99" s="70"/>
      <c r="M99" s="70"/>
      <c r="N99" s="68"/>
      <c r="IK99" s="53"/>
      <c r="IL99" s="53"/>
      <c r="IM99" s="53"/>
      <c r="IN99" s="53"/>
      <c r="IO99" s="53"/>
    </row>
    <row r="100" spans="1:249" s="52" customFormat="1" ht="16.5" customHeight="1" hidden="1">
      <c r="A100" s="30" t="s">
        <v>28</v>
      </c>
      <c r="B100" s="39" t="s">
        <v>30</v>
      </c>
      <c r="C100" s="62">
        <f>D100+E100+F100+G100</f>
        <v>0</v>
      </c>
      <c r="D100" s="62">
        <v>0</v>
      </c>
      <c r="E100" s="62">
        <v>0</v>
      </c>
      <c r="F100" s="62">
        <v>0</v>
      </c>
      <c r="G100" s="62">
        <v>0</v>
      </c>
      <c r="H100" s="116">
        <f t="shared" si="0"/>
        <v>0</v>
      </c>
      <c r="I100" s="62">
        <v>0</v>
      </c>
      <c r="J100" s="62">
        <v>0</v>
      </c>
      <c r="K100" s="69"/>
      <c r="L100" s="70"/>
      <c r="M100" s="70"/>
      <c r="N100" s="68"/>
      <c r="IK100" s="53"/>
      <c r="IL100" s="53"/>
      <c r="IM100" s="53"/>
      <c r="IN100" s="53"/>
      <c r="IO100" s="53"/>
    </row>
    <row r="101" spans="1:249" s="65" customFormat="1" ht="32.25" customHeight="1" hidden="1">
      <c r="A101" s="34" t="s">
        <v>19</v>
      </c>
      <c r="B101" s="63"/>
      <c r="C101" s="64">
        <f>D101+E101+F101+G101</f>
        <v>46</v>
      </c>
      <c r="D101" s="62">
        <v>1</v>
      </c>
      <c r="E101" s="62">
        <v>24</v>
      </c>
      <c r="F101" s="62">
        <v>11</v>
      </c>
      <c r="G101" s="62">
        <v>10</v>
      </c>
      <c r="H101" s="116">
        <f t="shared" si="0"/>
        <v>0</v>
      </c>
      <c r="I101" s="62">
        <v>10</v>
      </c>
      <c r="J101" s="64">
        <v>46</v>
      </c>
      <c r="K101" s="69"/>
      <c r="L101" s="69"/>
      <c r="M101" s="69"/>
      <c r="N101" s="75"/>
      <c r="IK101" s="66"/>
      <c r="IL101" s="66"/>
      <c r="IM101" s="66"/>
      <c r="IN101" s="66"/>
      <c r="IO101" s="66"/>
    </row>
    <row r="102" spans="1:249" s="65" customFormat="1" ht="22.5" customHeight="1">
      <c r="A102" s="76" t="s">
        <v>31</v>
      </c>
      <c r="B102" s="77" t="s">
        <v>32</v>
      </c>
      <c r="C102" s="78">
        <f>C103+C104+C105</f>
        <v>24168</v>
      </c>
      <c r="D102" s="78">
        <f>D103+D104+D105</f>
        <v>16</v>
      </c>
      <c r="E102" s="78">
        <f>E103+E104+E105</f>
        <v>16</v>
      </c>
      <c r="F102" s="78">
        <f>F103+F104+F105</f>
        <v>12068</v>
      </c>
      <c r="G102" s="78">
        <f>G103+G104+G105</f>
        <v>12068</v>
      </c>
      <c r="H102" s="116">
        <f t="shared" si="0"/>
        <v>0</v>
      </c>
      <c r="I102" s="78">
        <f>I103+I104+I105</f>
        <v>12068</v>
      </c>
      <c r="J102" s="78">
        <v>24168</v>
      </c>
      <c r="K102" s="69"/>
      <c r="L102" s="69"/>
      <c r="M102" s="69"/>
      <c r="N102" s="75"/>
      <c r="IK102" s="66"/>
      <c r="IL102" s="66"/>
      <c r="IM102" s="66"/>
      <c r="IN102" s="66"/>
      <c r="IO102" s="66"/>
    </row>
    <row r="103" spans="1:249" s="65" customFormat="1" ht="16.5" customHeight="1">
      <c r="A103" s="26" t="s">
        <v>13</v>
      </c>
      <c r="B103" s="130"/>
      <c r="C103" s="62">
        <f>D103+E103+F103+G103</f>
        <v>3626</v>
      </c>
      <c r="D103" s="62">
        <v>3</v>
      </c>
      <c r="E103" s="62">
        <v>3</v>
      </c>
      <c r="F103" s="62">
        <v>1810</v>
      </c>
      <c r="G103" s="62">
        <v>1810</v>
      </c>
      <c r="H103" s="116">
        <f t="shared" si="0"/>
        <v>0</v>
      </c>
      <c r="I103" s="62">
        <v>1810</v>
      </c>
      <c r="J103" s="62">
        <v>3626</v>
      </c>
      <c r="K103" s="69"/>
      <c r="L103" s="69"/>
      <c r="M103" s="69"/>
      <c r="N103" s="75"/>
      <c r="IK103" s="66"/>
      <c r="IL103" s="66"/>
      <c r="IM103" s="66"/>
      <c r="IN103" s="66"/>
      <c r="IO103" s="66"/>
    </row>
    <row r="104" spans="1:249" s="65" customFormat="1" ht="16.5" customHeight="1">
      <c r="A104" s="30" t="s">
        <v>14</v>
      </c>
      <c r="B104" s="130"/>
      <c r="C104" s="62">
        <f>D104+E104+F104+G104</f>
        <v>20542</v>
      </c>
      <c r="D104" s="62">
        <v>13</v>
      </c>
      <c r="E104" s="62">
        <v>13</v>
      </c>
      <c r="F104" s="62">
        <v>10258</v>
      </c>
      <c r="G104" s="62">
        <v>10258</v>
      </c>
      <c r="H104" s="116">
        <f t="shared" si="0"/>
        <v>0</v>
      </c>
      <c r="I104" s="62">
        <v>10258</v>
      </c>
      <c r="J104" s="62">
        <v>20542</v>
      </c>
      <c r="K104" s="69"/>
      <c r="L104" s="69"/>
      <c r="M104" s="69"/>
      <c r="N104" s="75"/>
      <c r="IK104" s="66"/>
      <c r="IL104" s="66"/>
      <c r="IM104" s="66"/>
      <c r="IN104" s="66"/>
      <c r="IO104" s="66"/>
    </row>
    <row r="105" spans="1:249" s="65" customFormat="1" ht="16.5" customHeight="1">
      <c r="A105" s="30" t="s">
        <v>15</v>
      </c>
      <c r="B105" s="130"/>
      <c r="C105" s="62">
        <f>D105+E105+F105+G105</f>
        <v>0</v>
      </c>
      <c r="D105" s="62">
        <v>0</v>
      </c>
      <c r="E105" s="62">
        <v>0</v>
      </c>
      <c r="F105" s="62">
        <v>0</v>
      </c>
      <c r="G105" s="62">
        <v>0</v>
      </c>
      <c r="H105" s="116">
        <f t="shared" si="0"/>
        <v>0</v>
      </c>
      <c r="I105" s="62">
        <v>0</v>
      </c>
      <c r="J105" s="62">
        <v>0</v>
      </c>
      <c r="K105" s="69"/>
      <c r="L105" s="69"/>
      <c r="M105" s="69"/>
      <c r="N105" s="75"/>
      <c r="IK105" s="66"/>
      <c r="IL105" s="66"/>
      <c r="IM105" s="66"/>
      <c r="IN105" s="66"/>
      <c r="IO105" s="66"/>
    </row>
    <row r="106" spans="1:249" s="65" customFormat="1" ht="16.5" customHeight="1" hidden="1">
      <c r="A106" s="34"/>
      <c r="B106" s="130"/>
      <c r="C106" s="62"/>
      <c r="D106" s="62"/>
      <c r="E106" s="62"/>
      <c r="F106" s="62"/>
      <c r="G106" s="62"/>
      <c r="H106" s="116">
        <f aca="true" t="shared" si="2" ref="H106:H132">H105</f>
        <v>0</v>
      </c>
      <c r="I106" s="62"/>
      <c r="J106" s="62"/>
      <c r="K106" s="69"/>
      <c r="L106" s="69"/>
      <c r="M106" s="69"/>
      <c r="N106" s="75"/>
      <c r="IK106" s="66"/>
      <c r="IL106" s="66"/>
      <c r="IM106" s="66"/>
      <c r="IN106" s="66"/>
      <c r="IO106" s="66"/>
    </row>
    <row r="107" spans="1:249" s="65" customFormat="1" ht="16.5" customHeight="1" hidden="1">
      <c r="A107" s="34"/>
      <c r="B107" s="63"/>
      <c r="C107" s="78">
        <f>C108+C109+C110+C111</f>
        <v>24168</v>
      </c>
      <c r="D107" s="78">
        <f>D108+D109+D110+D111</f>
        <v>16</v>
      </c>
      <c r="E107" s="78">
        <f>E108+E109+E110+E111</f>
        <v>16</v>
      </c>
      <c r="F107" s="78">
        <f>F108+F109+F110+F111</f>
        <v>12068</v>
      </c>
      <c r="G107" s="78">
        <f>G108+G109+G110+G111</f>
        <v>12068</v>
      </c>
      <c r="H107" s="116">
        <f t="shared" si="2"/>
        <v>0</v>
      </c>
      <c r="I107" s="78">
        <f>I108+I109+I110+I111</f>
        <v>12068</v>
      </c>
      <c r="J107" s="78">
        <v>24168</v>
      </c>
      <c r="K107" s="69"/>
      <c r="L107" s="69"/>
      <c r="M107" s="69"/>
      <c r="N107" s="75"/>
      <c r="IK107" s="66"/>
      <c r="IL107" s="66"/>
      <c r="IM107" s="66"/>
      <c r="IN107" s="66"/>
      <c r="IO107" s="66"/>
    </row>
    <row r="108" spans="1:249" s="65" customFormat="1" ht="16.5" customHeight="1" hidden="1">
      <c r="A108" s="34" t="s">
        <v>16</v>
      </c>
      <c r="B108" s="63"/>
      <c r="C108" s="62">
        <f aca="true" t="shared" si="3" ref="C108:C115">D108+E108+F108+G108</f>
        <v>3144</v>
      </c>
      <c r="D108" s="62">
        <v>3</v>
      </c>
      <c r="E108" s="62">
        <v>3</v>
      </c>
      <c r="F108" s="62">
        <v>1569</v>
      </c>
      <c r="G108" s="62">
        <v>1569</v>
      </c>
      <c r="H108" s="116">
        <f t="shared" si="2"/>
        <v>0</v>
      </c>
      <c r="I108" s="62">
        <v>1569</v>
      </c>
      <c r="J108" s="62">
        <v>3144</v>
      </c>
      <c r="K108" s="69"/>
      <c r="L108" s="69"/>
      <c r="M108" s="69"/>
      <c r="N108" s="75"/>
      <c r="IK108" s="66"/>
      <c r="IL108" s="66"/>
      <c r="IM108" s="66"/>
      <c r="IN108" s="66"/>
      <c r="IO108" s="66"/>
    </row>
    <row r="109" spans="1:249" s="65" customFormat="1" ht="16.5" customHeight="1" hidden="1">
      <c r="A109" s="34" t="s">
        <v>17</v>
      </c>
      <c r="B109" s="63"/>
      <c r="C109" s="62">
        <f t="shared" si="3"/>
        <v>20540</v>
      </c>
      <c r="D109" s="62">
        <v>12</v>
      </c>
      <c r="E109" s="62">
        <v>12</v>
      </c>
      <c r="F109" s="62">
        <v>10258</v>
      </c>
      <c r="G109" s="62">
        <v>10258</v>
      </c>
      <c r="H109" s="116">
        <f t="shared" si="2"/>
        <v>0</v>
      </c>
      <c r="I109" s="62">
        <v>10258</v>
      </c>
      <c r="J109" s="62">
        <v>20540</v>
      </c>
      <c r="K109" s="69"/>
      <c r="L109" s="69"/>
      <c r="M109" s="69"/>
      <c r="N109" s="75"/>
      <c r="IK109" s="66"/>
      <c r="IL109" s="66"/>
      <c r="IM109" s="66"/>
      <c r="IN109" s="66"/>
      <c r="IO109" s="66"/>
    </row>
    <row r="110" spans="1:249" s="65" customFormat="1" ht="16.5" customHeight="1" hidden="1">
      <c r="A110" s="34" t="s">
        <v>18</v>
      </c>
      <c r="B110" s="63"/>
      <c r="C110" s="62">
        <f t="shared" si="3"/>
        <v>0</v>
      </c>
      <c r="D110" s="62">
        <v>0</v>
      </c>
      <c r="E110" s="62">
        <v>0</v>
      </c>
      <c r="F110" s="62">
        <v>0</v>
      </c>
      <c r="G110" s="62">
        <v>0</v>
      </c>
      <c r="H110" s="116">
        <f t="shared" si="2"/>
        <v>0</v>
      </c>
      <c r="I110" s="62">
        <v>0</v>
      </c>
      <c r="J110" s="62">
        <v>0</v>
      </c>
      <c r="K110" s="69"/>
      <c r="L110" s="69"/>
      <c r="M110" s="69"/>
      <c r="N110" s="75"/>
      <c r="IK110" s="66"/>
      <c r="IL110" s="66"/>
      <c r="IM110" s="66"/>
      <c r="IN110" s="66"/>
      <c r="IO110" s="66"/>
    </row>
    <row r="111" spans="1:249" s="65" customFormat="1" ht="29.25" customHeight="1" hidden="1">
      <c r="A111" s="34" t="s">
        <v>19</v>
      </c>
      <c r="B111" s="63"/>
      <c r="C111" s="64">
        <f t="shared" si="3"/>
        <v>484</v>
      </c>
      <c r="D111" s="62">
        <v>1</v>
      </c>
      <c r="E111" s="62">
        <v>1</v>
      </c>
      <c r="F111" s="62">
        <v>241</v>
      </c>
      <c r="G111" s="62">
        <v>241</v>
      </c>
      <c r="H111" s="116">
        <f t="shared" si="2"/>
        <v>0</v>
      </c>
      <c r="I111" s="62">
        <v>241</v>
      </c>
      <c r="J111" s="64">
        <v>484</v>
      </c>
      <c r="K111" s="69"/>
      <c r="L111" s="69"/>
      <c r="M111" s="69"/>
      <c r="N111" s="75"/>
      <c r="IK111" s="66"/>
      <c r="IL111" s="66"/>
      <c r="IM111" s="66"/>
      <c r="IN111" s="66"/>
      <c r="IO111" s="66"/>
    </row>
    <row r="112" spans="1:249" s="52" customFormat="1" ht="41.25" customHeight="1">
      <c r="A112" s="79" t="s">
        <v>31</v>
      </c>
      <c r="B112" s="21" t="s">
        <v>33</v>
      </c>
      <c r="C112" s="23">
        <f t="shared" si="3"/>
        <v>41797</v>
      </c>
      <c r="D112" s="23">
        <f>SUM(D113:D115)</f>
        <v>10</v>
      </c>
      <c r="E112" s="23">
        <f>SUM(E113:E115)</f>
        <v>0</v>
      </c>
      <c r="F112" s="23">
        <f>SUM(F113:F115)</f>
        <v>20893</v>
      </c>
      <c r="G112" s="23">
        <f>SUM(G113:G115)</f>
        <v>20894</v>
      </c>
      <c r="H112" s="116">
        <f t="shared" si="2"/>
        <v>0</v>
      </c>
      <c r="I112" s="23">
        <f>SUM(I113:I115)</f>
        <v>20894</v>
      </c>
      <c r="J112" s="23">
        <v>41797</v>
      </c>
      <c r="K112" s="55"/>
      <c r="L112" s="56"/>
      <c r="M112" s="56"/>
      <c r="IK112" s="53"/>
      <c r="IL112" s="53"/>
      <c r="IM112" s="53"/>
      <c r="IN112" s="53"/>
      <c r="IO112" s="53"/>
    </row>
    <row r="113" spans="1:249" s="52" customFormat="1" ht="16.5" customHeight="1">
      <c r="A113" s="26" t="s">
        <v>13</v>
      </c>
      <c r="B113" s="125"/>
      <c r="C113" s="54">
        <f t="shared" si="3"/>
        <v>6270</v>
      </c>
      <c r="D113" s="54">
        <v>2</v>
      </c>
      <c r="E113" s="54">
        <v>0</v>
      </c>
      <c r="F113" s="54">
        <v>3134</v>
      </c>
      <c r="G113" s="54">
        <v>3134</v>
      </c>
      <c r="H113" s="116">
        <f t="shared" si="2"/>
        <v>0</v>
      </c>
      <c r="I113" s="54">
        <v>3134</v>
      </c>
      <c r="J113" s="54">
        <v>6270</v>
      </c>
      <c r="K113" s="55"/>
      <c r="L113" s="56"/>
      <c r="M113" s="56"/>
      <c r="IK113" s="53"/>
      <c r="IL113" s="53"/>
      <c r="IM113" s="53"/>
      <c r="IN113" s="53"/>
      <c r="IO113" s="53"/>
    </row>
    <row r="114" spans="1:249" s="52" customFormat="1" ht="16.5" customHeight="1">
      <c r="A114" s="30" t="s">
        <v>14</v>
      </c>
      <c r="B114" s="125"/>
      <c r="C114" s="54">
        <f t="shared" si="3"/>
        <v>35527</v>
      </c>
      <c r="D114" s="54">
        <v>8</v>
      </c>
      <c r="E114" s="54">
        <v>0</v>
      </c>
      <c r="F114" s="54">
        <v>17759</v>
      </c>
      <c r="G114" s="54">
        <v>17760</v>
      </c>
      <c r="H114" s="116">
        <f t="shared" si="2"/>
        <v>0</v>
      </c>
      <c r="I114" s="54">
        <v>17760</v>
      </c>
      <c r="J114" s="54">
        <v>35527</v>
      </c>
      <c r="K114" s="55"/>
      <c r="L114" s="56"/>
      <c r="M114" s="56"/>
      <c r="IK114" s="53"/>
      <c r="IL114" s="53"/>
      <c r="IM114" s="53"/>
      <c r="IN114" s="53"/>
      <c r="IO114" s="53"/>
    </row>
    <row r="115" spans="1:249" s="52" customFormat="1" ht="16.5" customHeight="1">
      <c r="A115" s="30" t="s">
        <v>15</v>
      </c>
      <c r="B115" s="125"/>
      <c r="C115" s="54">
        <f t="shared" si="3"/>
        <v>0</v>
      </c>
      <c r="D115" s="54">
        <v>0</v>
      </c>
      <c r="E115" s="54">
        <v>0</v>
      </c>
      <c r="F115" s="54">
        <v>0</v>
      </c>
      <c r="G115" s="54">
        <v>0</v>
      </c>
      <c r="H115" s="116">
        <f t="shared" si="2"/>
        <v>0</v>
      </c>
      <c r="I115" s="54">
        <v>0</v>
      </c>
      <c r="J115" s="54">
        <v>0</v>
      </c>
      <c r="K115" s="55"/>
      <c r="L115" s="56"/>
      <c r="M115" s="56"/>
      <c r="IK115" s="53"/>
      <c r="IL115" s="53"/>
      <c r="IM115" s="53"/>
      <c r="IN115" s="53"/>
      <c r="IO115" s="53"/>
    </row>
    <row r="116" spans="1:249" s="52" customFormat="1" ht="42" customHeight="1" hidden="1">
      <c r="A116" s="30"/>
      <c r="B116" s="125"/>
      <c r="C116" s="54"/>
      <c r="D116" s="54"/>
      <c r="E116" s="54"/>
      <c r="F116" s="54"/>
      <c r="G116" s="54"/>
      <c r="H116" s="116">
        <f t="shared" si="2"/>
        <v>0</v>
      </c>
      <c r="I116" s="54"/>
      <c r="J116" s="54"/>
      <c r="K116" s="55"/>
      <c r="L116" s="56"/>
      <c r="M116" s="56"/>
      <c r="IK116" s="53"/>
      <c r="IL116" s="53"/>
      <c r="IM116" s="53"/>
      <c r="IN116" s="53"/>
      <c r="IO116" s="53"/>
    </row>
    <row r="117" spans="1:249" s="60" customFormat="1" ht="16.5" customHeight="1" hidden="1">
      <c r="A117" s="31"/>
      <c r="B117" s="45"/>
      <c r="C117" s="71">
        <f>C118+C119+C120+C121</f>
        <v>41797</v>
      </c>
      <c r="D117" s="71">
        <f>D118+D119+D120+D121</f>
        <v>10</v>
      </c>
      <c r="E117" s="71">
        <f>E118+E119+E120+E121</f>
        <v>0</v>
      </c>
      <c r="F117" s="71">
        <f>F118+F119+F120+F121</f>
        <v>20893</v>
      </c>
      <c r="G117" s="71">
        <f>G118+G119+G120+G121</f>
        <v>20894</v>
      </c>
      <c r="H117" s="116">
        <f t="shared" si="2"/>
        <v>0</v>
      </c>
      <c r="I117" s="71">
        <f>I118+I119+I120+I121</f>
        <v>20894</v>
      </c>
      <c r="J117" s="71">
        <v>41797</v>
      </c>
      <c r="K117" s="58"/>
      <c r="L117" s="59"/>
      <c r="M117" s="59"/>
      <c r="IK117" s="61"/>
      <c r="IL117" s="61"/>
      <c r="IM117" s="61"/>
      <c r="IN117" s="61"/>
      <c r="IO117" s="61"/>
    </row>
    <row r="118" spans="1:249" s="52" customFormat="1" ht="16.5" customHeight="1" hidden="1">
      <c r="A118" s="30" t="s">
        <v>16</v>
      </c>
      <c r="B118" s="39"/>
      <c r="C118" s="54">
        <f>SUM(D118:G118)</f>
        <v>6270</v>
      </c>
      <c r="D118" s="54">
        <v>2</v>
      </c>
      <c r="E118" s="54">
        <v>0</v>
      </c>
      <c r="F118" s="54">
        <v>3134</v>
      </c>
      <c r="G118" s="54">
        <v>3134</v>
      </c>
      <c r="H118" s="116">
        <f t="shared" si="2"/>
        <v>0</v>
      </c>
      <c r="I118" s="54">
        <v>3134</v>
      </c>
      <c r="J118" s="54">
        <v>6270</v>
      </c>
      <c r="K118" s="55"/>
      <c r="L118" s="56"/>
      <c r="M118" s="56"/>
      <c r="IK118" s="53"/>
      <c r="IL118" s="53"/>
      <c r="IM118" s="53"/>
      <c r="IN118" s="53"/>
      <c r="IO118" s="53"/>
    </row>
    <row r="119" spans="1:249" s="52" customFormat="1" ht="16.5" customHeight="1" hidden="1">
      <c r="A119" s="30" t="s">
        <v>17</v>
      </c>
      <c r="B119" s="39"/>
      <c r="C119" s="54">
        <f>SUM(D119:G119)</f>
        <v>35527</v>
      </c>
      <c r="D119" s="54">
        <v>8</v>
      </c>
      <c r="E119" s="54">
        <v>0</v>
      </c>
      <c r="F119" s="54">
        <v>17759</v>
      </c>
      <c r="G119" s="54">
        <v>17760</v>
      </c>
      <c r="H119" s="116">
        <f t="shared" si="2"/>
        <v>0</v>
      </c>
      <c r="I119" s="54">
        <v>17760</v>
      </c>
      <c r="J119" s="54">
        <v>35527</v>
      </c>
      <c r="K119" s="55"/>
      <c r="L119" s="56"/>
      <c r="M119" s="56"/>
      <c r="IK119" s="53"/>
      <c r="IL119" s="53"/>
      <c r="IM119" s="53"/>
      <c r="IN119" s="53"/>
      <c r="IO119" s="53"/>
    </row>
    <row r="120" spans="1:249" s="52" customFormat="1" ht="16.5" customHeight="1" hidden="1">
      <c r="A120" s="30" t="s">
        <v>18</v>
      </c>
      <c r="B120" s="39"/>
      <c r="C120" s="54">
        <f>SUM(D120:G120)</f>
        <v>0</v>
      </c>
      <c r="D120" s="54">
        <v>0</v>
      </c>
      <c r="E120" s="54">
        <v>0</v>
      </c>
      <c r="F120" s="54">
        <v>0</v>
      </c>
      <c r="G120" s="54">
        <v>0</v>
      </c>
      <c r="H120" s="116">
        <f t="shared" si="2"/>
        <v>0</v>
      </c>
      <c r="I120" s="54">
        <v>0</v>
      </c>
      <c r="J120" s="54">
        <v>0</v>
      </c>
      <c r="K120" s="55"/>
      <c r="L120" s="56"/>
      <c r="M120" s="56"/>
      <c r="IK120" s="53"/>
      <c r="IL120" s="53"/>
      <c r="IM120" s="53"/>
      <c r="IN120" s="53"/>
      <c r="IO120" s="53"/>
    </row>
    <row r="121" spans="1:249" s="65" customFormat="1" ht="14.25" hidden="1">
      <c r="A121" s="34" t="s">
        <v>19</v>
      </c>
      <c r="B121" s="63"/>
      <c r="C121" s="80">
        <v>0</v>
      </c>
      <c r="D121" s="54">
        <v>0</v>
      </c>
      <c r="E121" s="54">
        <v>0</v>
      </c>
      <c r="F121" s="54">
        <v>0</v>
      </c>
      <c r="G121" s="54">
        <v>0</v>
      </c>
      <c r="H121" s="116">
        <f t="shared" si="2"/>
        <v>0</v>
      </c>
      <c r="I121" s="54">
        <v>0</v>
      </c>
      <c r="J121" s="80">
        <v>0</v>
      </c>
      <c r="K121" s="55"/>
      <c r="L121" s="55"/>
      <c r="M121" s="55"/>
      <c r="IK121" s="66"/>
      <c r="IL121" s="66"/>
      <c r="IM121" s="66"/>
      <c r="IN121" s="66"/>
      <c r="IO121" s="66"/>
    </row>
    <row r="122" spans="1:249" s="52" customFormat="1" ht="31.5" customHeight="1">
      <c r="A122" s="50" t="s">
        <v>34</v>
      </c>
      <c r="B122" s="21" t="s">
        <v>35</v>
      </c>
      <c r="C122" s="23">
        <f>D122+E122+F122+G122</f>
        <v>6057</v>
      </c>
      <c r="D122" s="23">
        <f>SUM(D123:D125)</f>
        <v>280</v>
      </c>
      <c r="E122" s="23">
        <f>SUM(E123:E125)</f>
        <v>0</v>
      </c>
      <c r="F122" s="23">
        <f>SUM(F123:F125)</f>
        <v>4619</v>
      </c>
      <c r="G122" s="23">
        <f>SUM(G123:G125)</f>
        <v>1158</v>
      </c>
      <c r="H122" s="116">
        <f t="shared" si="2"/>
        <v>0</v>
      </c>
      <c r="I122" s="23">
        <f>SUM(I123:I125)</f>
        <v>1158</v>
      </c>
      <c r="J122" s="23">
        <v>6057</v>
      </c>
      <c r="K122" s="55"/>
      <c r="L122" s="56"/>
      <c r="M122" s="56"/>
      <c r="IK122" s="53"/>
      <c r="IL122" s="53"/>
      <c r="IM122" s="53"/>
      <c r="IN122" s="53"/>
      <c r="IO122" s="53"/>
    </row>
    <row r="123" spans="1:249" s="52" customFormat="1" ht="16.5" customHeight="1">
      <c r="A123" s="26" t="s">
        <v>13</v>
      </c>
      <c r="B123" s="125"/>
      <c r="C123" s="54">
        <f>D123+E123+F123+G123</f>
        <v>901</v>
      </c>
      <c r="D123" s="54">
        <v>42</v>
      </c>
      <c r="E123" s="54">
        <v>0</v>
      </c>
      <c r="F123" s="54">
        <v>693</v>
      </c>
      <c r="G123" s="54">
        <v>166</v>
      </c>
      <c r="H123" s="116">
        <f t="shared" si="2"/>
        <v>0</v>
      </c>
      <c r="I123" s="54">
        <v>166</v>
      </c>
      <c r="J123" s="54">
        <v>901</v>
      </c>
      <c r="K123" s="55"/>
      <c r="L123" s="56"/>
      <c r="M123" s="56"/>
      <c r="IK123" s="53"/>
      <c r="IL123" s="53"/>
      <c r="IM123" s="53"/>
      <c r="IN123" s="53"/>
      <c r="IO123" s="53"/>
    </row>
    <row r="124" spans="1:249" s="52" customFormat="1" ht="16.5" customHeight="1">
      <c r="A124" s="30" t="s">
        <v>14</v>
      </c>
      <c r="B124" s="125"/>
      <c r="C124" s="54">
        <f>D124+E124+F124+G124</f>
        <v>5108</v>
      </c>
      <c r="D124" s="54">
        <v>238</v>
      </c>
      <c r="E124" s="54">
        <v>0</v>
      </c>
      <c r="F124" s="54">
        <v>3926</v>
      </c>
      <c r="G124" s="54">
        <v>944</v>
      </c>
      <c r="H124" s="116">
        <f t="shared" si="2"/>
        <v>0</v>
      </c>
      <c r="I124" s="54">
        <v>944</v>
      </c>
      <c r="J124" s="54">
        <v>5108</v>
      </c>
      <c r="K124" s="55"/>
      <c r="L124" s="56"/>
      <c r="M124" s="56"/>
      <c r="IK124" s="53"/>
      <c r="IL124" s="53"/>
      <c r="IM124" s="53"/>
      <c r="IN124" s="53"/>
      <c r="IO124" s="53"/>
    </row>
    <row r="125" spans="1:249" s="52" customFormat="1" ht="16.5" customHeight="1">
      <c r="A125" s="30" t="s">
        <v>15</v>
      </c>
      <c r="B125" s="125"/>
      <c r="C125" s="54">
        <f>D125+E125+F125+G125</f>
        <v>48</v>
      </c>
      <c r="D125" s="54">
        <v>0</v>
      </c>
      <c r="E125" s="54">
        <v>0</v>
      </c>
      <c r="F125" s="54">
        <v>0</v>
      </c>
      <c r="G125" s="54">
        <v>48</v>
      </c>
      <c r="H125" s="116">
        <f t="shared" si="2"/>
        <v>0</v>
      </c>
      <c r="I125" s="54">
        <v>48</v>
      </c>
      <c r="J125" s="54">
        <v>48</v>
      </c>
      <c r="K125" s="55"/>
      <c r="L125" s="56"/>
      <c r="M125" s="56"/>
      <c r="IK125" s="53"/>
      <c r="IL125" s="53"/>
      <c r="IM125" s="53"/>
      <c r="IN125" s="53"/>
      <c r="IO125" s="53"/>
    </row>
    <row r="126" spans="1:249" s="52" customFormat="1" ht="16.5" customHeight="1" hidden="1">
      <c r="A126" s="30"/>
      <c r="B126" s="39"/>
      <c r="C126" s="54"/>
      <c r="D126" s="54"/>
      <c r="E126" s="54"/>
      <c r="F126" s="54"/>
      <c r="G126" s="54"/>
      <c r="H126" s="116">
        <f t="shared" si="2"/>
        <v>0</v>
      </c>
      <c r="I126" s="54"/>
      <c r="J126" s="54"/>
      <c r="K126" s="55"/>
      <c r="L126" s="56"/>
      <c r="M126" s="56"/>
      <c r="IK126" s="53"/>
      <c r="IL126" s="53"/>
      <c r="IM126" s="53"/>
      <c r="IN126" s="53"/>
      <c r="IO126" s="53"/>
    </row>
    <row r="127" spans="1:249" s="60" customFormat="1" ht="16.5" customHeight="1" hidden="1">
      <c r="A127" s="31"/>
      <c r="B127" s="45"/>
      <c r="C127" s="71">
        <f>C128+C129+C130+C131</f>
        <v>6057</v>
      </c>
      <c r="D127" s="71">
        <f>D128+D129+D130+D131</f>
        <v>280</v>
      </c>
      <c r="E127" s="71">
        <f>E128+E129+E130+E131</f>
        <v>0</v>
      </c>
      <c r="F127" s="71">
        <f>F128+F129+F130+F131</f>
        <v>4619</v>
      </c>
      <c r="G127" s="71">
        <f>G128+G129+G130+G131</f>
        <v>1158</v>
      </c>
      <c r="H127" s="116">
        <f t="shared" si="2"/>
        <v>0</v>
      </c>
      <c r="I127" s="71">
        <f>I128+I129+I130+I131</f>
        <v>1158</v>
      </c>
      <c r="J127" s="71">
        <v>6057</v>
      </c>
      <c r="K127" s="58"/>
      <c r="L127" s="59"/>
      <c r="M127" s="59"/>
      <c r="IK127" s="61"/>
      <c r="IL127" s="61"/>
      <c r="IM127" s="61"/>
      <c r="IN127" s="61"/>
      <c r="IO127" s="61"/>
    </row>
    <row r="128" spans="1:249" s="52" customFormat="1" ht="16.5" customHeight="1" hidden="1">
      <c r="A128" s="30" t="s">
        <v>16</v>
      </c>
      <c r="B128" s="39"/>
      <c r="C128" s="54">
        <f>SUM(D128:G128)</f>
        <v>187</v>
      </c>
      <c r="D128" s="54">
        <v>36</v>
      </c>
      <c r="E128" s="54">
        <v>0</v>
      </c>
      <c r="F128" s="54">
        <v>7</v>
      </c>
      <c r="G128" s="54">
        <v>144</v>
      </c>
      <c r="H128" s="116">
        <f t="shared" si="2"/>
        <v>0</v>
      </c>
      <c r="I128" s="54">
        <v>144</v>
      </c>
      <c r="J128" s="54">
        <v>187</v>
      </c>
      <c r="K128" s="55"/>
      <c r="L128" s="56"/>
      <c r="M128" s="56"/>
      <c r="IK128" s="53"/>
      <c r="IL128" s="53"/>
      <c r="IM128" s="53"/>
      <c r="IN128" s="53"/>
      <c r="IO128" s="53"/>
    </row>
    <row r="129" spans="1:249" s="52" customFormat="1" ht="16.5" customHeight="1" hidden="1">
      <c r="A129" s="30" t="s">
        <v>17</v>
      </c>
      <c r="B129" s="39"/>
      <c r="C129" s="54">
        <f>SUM(D129:G129)</f>
        <v>5108</v>
      </c>
      <c r="D129" s="54">
        <v>238</v>
      </c>
      <c r="E129" s="54">
        <v>0</v>
      </c>
      <c r="F129" s="54">
        <v>3926</v>
      </c>
      <c r="G129" s="54">
        <v>944</v>
      </c>
      <c r="H129" s="116">
        <f t="shared" si="2"/>
        <v>0</v>
      </c>
      <c r="I129" s="54">
        <v>944</v>
      </c>
      <c r="J129" s="54">
        <v>5108</v>
      </c>
      <c r="K129" s="55"/>
      <c r="L129" s="56"/>
      <c r="M129" s="56"/>
      <c r="IK129" s="53"/>
      <c r="IL129" s="53"/>
      <c r="IM129" s="53"/>
      <c r="IN129" s="53"/>
      <c r="IO129" s="53"/>
    </row>
    <row r="130" spans="1:249" s="52" customFormat="1" ht="16.5" customHeight="1" hidden="1">
      <c r="A130" s="30" t="s">
        <v>18</v>
      </c>
      <c r="B130" s="39"/>
      <c r="C130" s="54">
        <f>SUM(D130:G130)</f>
        <v>0</v>
      </c>
      <c r="D130" s="54">
        <v>0</v>
      </c>
      <c r="E130" s="54">
        <v>0</v>
      </c>
      <c r="F130" s="54">
        <v>0</v>
      </c>
      <c r="G130" s="54">
        <v>0</v>
      </c>
      <c r="H130" s="116">
        <f t="shared" si="2"/>
        <v>0</v>
      </c>
      <c r="I130" s="54">
        <v>0</v>
      </c>
      <c r="J130" s="54">
        <v>0</v>
      </c>
      <c r="K130" s="55"/>
      <c r="L130" s="56"/>
      <c r="M130" s="56"/>
      <c r="IK130" s="53"/>
      <c r="IL130" s="53"/>
      <c r="IM130" s="53"/>
      <c r="IN130" s="53"/>
      <c r="IO130" s="53"/>
    </row>
    <row r="131" spans="1:249" s="65" customFormat="1" ht="14.25" hidden="1">
      <c r="A131" s="34" t="s">
        <v>19</v>
      </c>
      <c r="B131" s="63"/>
      <c r="C131" s="80">
        <f>SUM(D131:G131)</f>
        <v>762</v>
      </c>
      <c r="D131" s="54">
        <v>6</v>
      </c>
      <c r="E131" s="54"/>
      <c r="F131" s="54">
        <v>686</v>
      </c>
      <c r="G131" s="54">
        <v>70</v>
      </c>
      <c r="H131" s="116">
        <f t="shared" si="2"/>
        <v>0</v>
      </c>
      <c r="I131" s="54">
        <v>70</v>
      </c>
      <c r="J131" s="80">
        <v>762</v>
      </c>
      <c r="K131" s="55"/>
      <c r="L131" s="55"/>
      <c r="M131" s="55"/>
      <c r="IK131" s="66"/>
      <c r="IL131" s="66"/>
      <c r="IM131" s="66"/>
      <c r="IN131" s="66"/>
      <c r="IO131" s="66"/>
    </row>
    <row r="132" spans="1:249" s="60" customFormat="1" ht="21" customHeight="1">
      <c r="A132" s="131" t="s">
        <v>36</v>
      </c>
      <c r="B132" s="131"/>
      <c r="C132" s="32">
        <f>C10+C20+C30+C40+C50+C60+C70+C80+C91+C102+C112+C122</f>
        <v>99718</v>
      </c>
      <c r="D132" s="32">
        <f>D10+D20+D30+D40+D50+D60+D70+D80+D91+D102+D112+D122</f>
        <v>2669</v>
      </c>
      <c r="E132" s="32">
        <f>E10+E20+E30+E40+E50+E60+E70+E80+E91+E102+E112+E122</f>
        <v>4163</v>
      </c>
      <c r="F132" s="32">
        <f>F10+F20+F30+F40+F50+F60+F70+F80+F91+F102+F112+F122</f>
        <v>50964</v>
      </c>
      <c r="G132" s="32">
        <f>G10+G20+G30+G40+G50+G60+G70+G80+G91+G102+G112+G122</f>
        <v>41922</v>
      </c>
      <c r="H132" s="116">
        <f t="shared" si="2"/>
        <v>0</v>
      </c>
      <c r="I132" s="32">
        <f>I10+I20+I30+I40+I50+I60+I70+I80+I91+I102+I112+I122</f>
        <v>41922</v>
      </c>
      <c r="J132" s="32">
        <v>99718</v>
      </c>
      <c r="K132" s="58"/>
      <c r="L132" s="59"/>
      <c r="M132" s="59"/>
      <c r="IK132" s="61"/>
      <c r="IL132" s="61"/>
      <c r="IM132" s="61"/>
      <c r="IN132" s="61"/>
      <c r="IO132" s="61"/>
    </row>
    <row r="133" spans="1:249" s="52" customFormat="1" ht="20.25" customHeight="1">
      <c r="A133" s="132" t="s">
        <v>37</v>
      </c>
      <c r="B133" s="132"/>
      <c r="C133" s="132"/>
      <c r="D133" s="81"/>
      <c r="E133" s="81"/>
      <c r="F133" s="71"/>
      <c r="G133" s="71"/>
      <c r="H133" s="118">
        <v>0</v>
      </c>
      <c r="I133" s="71"/>
      <c r="J133" s="71"/>
      <c r="K133" s="55"/>
      <c r="L133" s="56"/>
      <c r="M133" s="56"/>
      <c r="IK133" s="53"/>
      <c r="IL133" s="53"/>
      <c r="IM133" s="53"/>
      <c r="IN133" s="53"/>
      <c r="IO133" s="53"/>
    </row>
    <row r="134" spans="1:249" s="52" customFormat="1" ht="48" customHeight="1">
      <c r="A134" s="50" t="s">
        <v>38</v>
      </c>
      <c r="B134" s="50" t="s">
        <v>39</v>
      </c>
      <c r="C134" s="23">
        <f>C135+C136+C137</f>
        <v>13479</v>
      </c>
      <c r="D134" s="32">
        <f>D135+D136+D137</f>
        <v>10</v>
      </c>
      <c r="E134" s="32">
        <f>E135+E136+E137</f>
        <v>7542</v>
      </c>
      <c r="F134" s="32">
        <f>F135+F136+F137</f>
        <v>2963</v>
      </c>
      <c r="G134" s="23">
        <f>G135+G136+G137</f>
        <v>2964</v>
      </c>
      <c r="H134" s="118">
        <v>0</v>
      </c>
      <c r="I134" s="23">
        <f>I135+I136+I137</f>
        <v>2964</v>
      </c>
      <c r="J134" s="23">
        <v>13479</v>
      </c>
      <c r="K134" s="55"/>
      <c r="L134" s="56"/>
      <c r="M134" s="56"/>
      <c r="IK134" s="53"/>
      <c r="IL134" s="53"/>
      <c r="IM134" s="53"/>
      <c r="IN134" s="53"/>
      <c r="IO134" s="53"/>
    </row>
    <row r="135" spans="1:249" s="52" customFormat="1" ht="16.5" customHeight="1">
      <c r="A135" s="26" t="s">
        <v>13</v>
      </c>
      <c r="B135" s="124"/>
      <c r="C135" s="27">
        <f>D135+E135+F135+G135</f>
        <v>1948</v>
      </c>
      <c r="D135" s="28">
        <v>2</v>
      </c>
      <c r="E135" s="28">
        <v>1116</v>
      </c>
      <c r="F135" s="28">
        <v>415</v>
      </c>
      <c r="G135" s="27">
        <v>415</v>
      </c>
      <c r="H135" s="118">
        <v>0</v>
      </c>
      <c r="I135" s="27">
        <v>415</v>
      </c>
      <c r="J135" s="27">
        <v>1948</v>
      </c>
      <c r="K135" s="65"/>
      <c r="L135" s="56"/>
      <c r="M135" s="56"/>
      <c r="IK135" s="53"/>
      <c r="IL135" s="53"/>
      <c r="IM135" s="53"/>
      <c r="IN135" s="53"/>
      <c r="IO135" s="53"/>
    </row>
    <row r="136" spans="1:249" s="52" customFormat="1" ht="16.5" customHeight="1">
      <c r="A136" s="30" t="s">
        <v>14</v>
      </c>
      <c r="B136" s="124"/>
      <c r="C136" s="27">
        <f>D136+E136+F136+G136</f>
        <v>11031</v>
      </c>
      <c r="D136" s="28">
        <v>8</v>
      </c>
      <c r="E136" s="28">
        <v>6326</v>
      </c>
      <c r="F136" s="28">
        <v>2348</v>
      </c>
      <c r="G136" s="27">
        <v>2349</v>
      </c>
      <c r="H136" s="118">
        <v>0</v>
      </c>
      <c r="I136" s="27">
        <v>2349</v>
      </c>
      <c r="J136" s="27">
        <v>11031</v>
      </c>
      <c r="K136" s="55"/>
      <c r="L136" s="56"/>
      <c r="M136" s="56"/>
      <c r="IK136" s="53"/>
      <c r="IL136" s="53"/>
      <c r="IM136" s="53"/>
      <c r="IN136" s="53"/>
      <c r="IO136" s="53"/>
    </row>
    <row r="137" spans="1:249" s="52" customFormat="1" ht="16.5" customHeight="1">
      <c r="A137" s="30" t="s">
        <v>15</v>
      </c>
      <c r="B137" s="124"/>
      <c r="C137" s="27">
        <f>D137+E137+F137+G137</f>
        <v>500</v>
      </c>
      <c r="D137" s="28">
        <v>0</v>
      </c>
      <c r="E137" s="28">
        <v>100</v>
      </c>
      <c r="F137" s="28">
        <v>200</v>
      </c>
      <c r="G137" s="27">
        <v>200</v>
      </c>
      <c r="H137" s="118">
        <v>0</v>
      </c>
      <c r="I137" s="27">
        <v>200</v>
      </c>
      <c r="J137" s="27">
        <v>500</v>
      </c>
      <c r="K137" s="55"/>
      <c r="L137" s="56"/>
      <c r="M137" s="56"/>
      <c r="IK137" s="53"/>
      <c r="IL137" s="53"/>
      <c r="IM137" s="53"/>
      <c r="IN137" s="53"/>
      <c r="IO137" s="53"/>
    </row>
    <row r="138" spans="1:249" s="52" customFormat="1" ht="16.5" customHeight="1" hidden="1">
      <c r="A138" s="30"/>
      <c r="B138" s="50"/>
      <c r="C138" s="27"/>
      <c r="D138" s="28"/>
      <c r="E138" s="28"/>
      <c r="F138" s="27"/>
      <c r="G138" s="27"/>
      <c r="H138" s="118"/>
      <c r="I138" s="27"/>
      <c r="J138" s="27"/>
      <c r="K138" s="55" t="s">
        <v>30</v>
      </c>
      <c r="L138" s="56"/>
      <c r="M138" s="56"/>
      <c r="IK138" s="53"/>
      <c r="IL138" s="53"/>
      <c r="IM138" s="53"/>
      <c r="IN138" s="53"/>
      <c r="IO138" s="53"/>
    </row>
    <row r="139" spans="1:249" s="52" customFormat="1" ht="16.5" customHeight="1" hidden="1">
      <c r="A139" s="31"/>
      <c r="B139" s="50"/>
      <c r="C139" s="23">
        <f>C140+C141+C142+C143</f>
        <v>13479</v>
      </c>
      <c r="D139" s="32">
        <f>D140+D141+D142+D143</f>
        <v>10</v>
      </c>
      <c r="E139" s="32">
        <f>E140+E141+E142+E143</f>
        <v>7542</v>
      </c>
      <c r="F139" s="23">
        <f>F140+F141+F142+F143</f>
        <v>2963</v>
      </c>
      <c r="G139" s="23">
        <f>G140+G141+G142+G143</f>
        <v>2964</v>
      </c>
      <c r="H139" s="118"/>
      <c r="I139" s="23">
        <f>I140+I141+I142+I143</f>
        <v>2964</v>
      </c>
      <c r="J139" s="23">
        <v>13479</v>
      </c>
      <c r="K139" s="55"/>
      <c r="L139" s="56"/>
      <c r="M139" s="56"/>
      <c r="IK139" s="53"/>
      <c r="IL139" s="53"/>
      <c r="IM139" s="53"/>
      <c r="IN139" s="53"/>
      <c r="IO139" s="53"/>
    </row>
    <row r="140" spans="1:249" s="52" customFormat="1" ht="16.5" customHeight="1" hidden="1">
      <c r="A140" s="30" t="s">
        <v>16</v>
      </c>
      <c r="B140" s="50"/>
      <c r="C140" s="27">
        <f aca="true" t="shared" si="4" ref="C140:C147">D140+E140+F140+G140</f>
        <v>1686</v>
      </c>
      <c r="D140" s="28">
        <v>1</v>
      </c>
      <c r="E140" s="28">
        <v>967</v>
      </c>
      <c r="F140" s="28">
        <v>359</v>
      </c>
      <c r="G140" s="28">
        <v>359</v>
      </c>
      <c r="H140" s="118"/>
      <c r="I140" s="28">
        <v>359</v>
      </c>
      <c r="J140" s="27">
        <v>1686</v>
      </c>
      <c r="K140" s="55"/>
      <c r="L140" s="56"/>
      <c r="M140" s="56"/>
      <c r="IK140" s="53"/>
      <c r="IL140" s="53"/>
      <c r="IM140" s="53"/>
      <c r="IN140" s="53"/>
      <c r="IO140" s="53"/>
    </row>
    <row r="141" spans="1:249" s="52" customFormat="1" ht="16.5" customHeight="1" hidden="1">
      <c r="A141" s="30" t="s">
        <v>17</v>
      </c>
      <c r="B141" s="50"/>
      <c r="C141" s="27">
        <f t="shared" si="4"/>
        <v>11034</v>
      </c>
      <c r="D141" s="28">
        <v>9</v>
      </c>
      <c r="E141" s="28">
        <v>6326</v>
      </c>
      <c r="F141" s="28">
        <v>2349</v>
      </c>
      <c r="G141" s="28">
        <v>2350</v>
      </c>
      <c r="H141" s="118"/>
      <c r="I141" s="28">
        <v>2350</v>
      </c>
      <c r="J141" s="27">
        <v>11034</v>
      </c>
      <c r="K141" s="55"/>
      <c r="L141" s="56"/>
      <c r="M141" s="56"/>
      <c r="IK141" s="53"/>
      <c r="IL141" s="53"/>
      <c r="IM141" s="53"/>
      <c r="IN141" s="53"/>
      <c r="IO141" s="53"/>
    </row>
    <row r="142" spans="1:249" s="52" customFormat="1" ht="16.5" customHeight="1" hidden="1">
      <c r="A142" s="30" t="s">
        <v>18</v>
      </c>
      <c r="B142" s="50"/>
      <c r="C142" s="36">
        <f t="shared" si="4"/>
        <v>0</v>
      </c>
      <c r="D142" s="28">
        <v>0</v>
      </c>
      <c r="E142" s="28">
        <v>0</v>
      </c>
      <c r="F142" s="28">
        <v>0</v>
      </c>
      <c r="G142" s="29">
        <v>0</v>
      </c>
      <c r="H142" s="118"/>
      <c r="I142" s="29">
        <v>0</v>
      </c>
      <c r="J142" s="36">
        <v>0</v>
      </c>
      <c r="K142" s="55"/>
      <c r="L142" s="56"/>
      <c r="M142" s="56"/>
      <c r="IK142" s="53"/>
      <c r="IL142" s="53"/>
      <c r="IM142" s="53"/>
      <c r="IN142" s="53"/>
      <c r="IO142" s="53"/>
    </row>
    <row r="143" spans="1:249" s="52" customFormat="1" ht="30.75" customHeight="1" hidden="1">
      <c r="A143" s="34" t="s">
        <v>19</v>
      </c>
      <c r="B143" s="50"/>
      <c r="C143" s="38">
        <f t="shared" si="4"/>
        <v>759</v>
      </c>
      <c r="D143" s="27">
        <v>0</v>
      </c>
      <c r="E143" s="27">
        <v>249</v>
      </c>
      <c r="F143" s="27">
        <v>255</v>
      </c>
      <c r="G143" s="27">
        <v>255</v>
      </c>
      <c r="H143" s="118"/>
      <c r="I143" s="27">
        <v>255</v>
      </c>
      <c r="J143" s="38">
        <v>759</v>
      </c>
      <c r="K143" s="55"/>
      <c r="L143" s="56"/>
      <c r="M143" s="56"/>
      <c r="IK143" s="53"/>
      <c r="IL143" s="53"/>
      <c r="IM143" s="53"/>
      <c r="IN143" s="53"/>
      <c r="IO143" s="53"/>
    </row>
    <row r="144" spans="1:249" s="52" customFormat="1" ht="55.5" customHeight="1">
      <c r="A144" s="50" t="s">
        <v>38</v>
      </c>
      <c r="B144" s="21" t="s">
        <v>40</v>
      </c>
      <c r="C144" s="23">
        <f t="shared" si="4"/>
        <v>6937</v>
      </c>
      <c r="D144" s="23">
        <f>SUM(D145:D147)</f>
        <v>236</v>
      </c>
      <c r="E144" s="23">
        <f>SUM(E145:E147)</f>
        <v>5346</v>
      </c>
      <c r="F144" s="23">
        <f>SUM(F145:F147)</f>
        <v>0</v>
      </c>
      <c r="G144" s="23">
        <f>SUM(G145:G147)</f>
        <v>1355</v>
      </c>
      <c r="H144" s="118">
        <f>H145+H146+H147</f>
        <v>-4</v>
      </c>
      <c r="I144" s="23">
        <f>SUM(I145:I147)</f>
        <v>1351</v>
      </c>
      <c r="J144" s="23">
        <f>J145+J146+J147</f>
        <v>6933</v>
      </c>
      <c r="K144" s="55"/>
      <c r="L144" s="56"/>
      <c r="M144" s="56"/>
      <c r="IK144" s="53"/>
      <c r="IL144" s="53"/>
      <c r="IM144" s="53"/>
      <c r="IN144" s="53"/>
      <c r="IO144" s="53"/>
    </row>
    <row r="145" spans="1:249" s="52" customFormat="1" ht="16.5" customHeight="1">
      <c r="A145" s="26" t="s">
        <v>13</v>
      </c>
      <c r="B145" s="125"/>
      <c r="C145" s="54">
        <f t="shared" si="4"/>
        <v>2029</v>
      </c>
      <c r="D145" s="54">
        <v>71</v>
      </c>
      <c r="E145" s="54">
        <f>185+1385</f>
        <v>1570</v>
      </c>
      <c r="F145" s="54">
        <v>0</v>
      </c>
      <c r="G145" s="54">
        <v>388</v>
      </c>
      <c r="H145" s="118">
        <v>0</v>
      </c>
      <c r="I145" s="54">
        <v>388</v>
      </c>
      <c r="J145" s="54">
        <v>2029</v>
      </c>
      <c r="K145" s="55"/>
      <c r="L145" s="56"/>
      <c r="M145" s="56"/>
      <c r="IK145" s="53"/>
      <c r="IL145" s="53"/>
      <c r="IM145" s="53"/>
      <c r="IN145" s="53"/>
      <c r="IO145" s="53"/>
    </row>
    <row r="146" spans="1:249" s="52" customFormat="1" ht="16.5" customHeight="1">
      <c r="A146" s="30" t="s">
        <v>14</v>
      </c>
      <c r="B146" s="125"/>
      <c r="C146" s="54">
        <f t="shared" si="4"/>
        <v>4734</v>
      </c>
      <c r="D146" s="54">
        <v>165</v>
      </c>
      <c r="E146" s="54">
        <f>431+3231</f>
        <v>3662</v>
      </c>
      <c r="F146" s="54">
        <v>0</v>
      </c>
      <c r="G146" s="54">
        <v>907</v>
      </c>
      <c r="H146" s="118">
        <v>-4</v>
      </c>
      <c r="I146" s="54">
        <f>G146+H146</f>
        <v>903</v>
      </c>
      <c r="J146" s="54">
        <f>D146+E146+F146+I146</f>
        <v>4730</v>
      </c>
      <c r="K146" s="55"/>
      <c r="L146" s="56"/>
      <c r="M146" s="56"/>
      <c r="IK146" s="53"/>
      <c r="IL146" s="53"/>
      <c r="IM146" s="53"/>
      <c r="IN146" s="53"/>
      <c r="IO146" s="53"/>
    </row>
    <row r="147" spans="1:249" s="52" customFormat="1" ht="15.75" customHeight="1">
      <c r="A147" s="30" t="s">
        <v>15</v>
      </c>
      <c r="B147" s="125"/>
      <c r="C147" s="54">
        <f t="shared" si="4"/>
        <v>174</v>
      </c>
      <c r="D147" s="54">
        <v>0</v>
      </c>
      <c r="E147" s="54">
        <f>60+54</f>
        <v>114</v>
      </c>
      <c r="F147" s="54">
        <v>0</v>
      </c>
      <c r="G147" s="54">
        <v>60</v>
      </c>
      <c r="H147" s="118">
        <v>0</v>
      </c>
      <c r="I147" s="54">
        <v>60</v>
      </c>
      <c r="J147" s="54">
        <v>174</v>
      </c>
      <c r="K147" s="55"/>
      <c r="L147" s="56"/>
      <c r="M147" s="56"/>
      <c r="IK147" s="53"/>
      <c r="IL147" s="53"/>
      <c r="IM147" s="53"/>
      <c r="IN147" s="53"/>
      <c r="IO147" s="53"/>
    </row>
    <row r="148" spans="1:249" s="52" customFormat="1" ht="18" customHeight="1" hidden="1">
      <c r="A148" s="30"/>
      <c r="B148" s="39"/>
      <c r="C148" s="54"/>
      <c r="D148" s="54"/>
      <c r="E148" s="54"/>
      <c r="F148" s="54"/>
      <c r="G148" s="54"/>
      <c r="H148" s="118"/>
      <c r="I148" s="54"/>
      <c r="J148" s="54"/>
      <c r="K148" s="55"/>
      <c r="L148" s="56"/>
      <c r="M148" s="56"/>
      <c r="IK148" s="53"/>
      <c r="IL148" s="53"/>
      <c r="IM148" s="53"/>
      <c r="IN148" s="53"/>
      <c r="IO148" s="53"/>
    </row>
    <row r="149" spans="1:249" s="60" customFormat="1" ht="20.25" customHeight="1" hidden="1">
      <c r="A149" s="31"/>
      <c r="B149" s="45"/>
      <c r="C149" s="71">
        <f>C150+C151+C152+C153</f>
        <v>6937</v>
      </c>
      <c r="D149" s="71">
        <f>D150+D151+D152+D153</f>
        <v>236</v>
      </c>
      <c r="E149" s="71">
        <f>E150+E151+E152+E153</f>
        <v>5346</v>
      </c>
      <c r="F149" s="71">
        <f>F150+F151+F152+F153</f>
        <v>0</v>
      </c>
      <c r="G149" s="71">
        <f>G150+G151+G152+G153</f>
        <v>1355</v>
      </c>
      <c r="H149" s="119"/>
      <c r="I149" s="71">
        <f>I150+I151+I152+I153</f>
        <v>1355</v>
      </c>
      <c r="J149" s="71">
        <v>6937</v>
      </c>
      <c r="K149" s="58"/>
      <c r="L149" s="59"/>
      <c r="M149" s="59"/>
      <c r="IK149" s="61"/>
      <c r="IL149" s="61"/>
      <c r="IM149" s="61"/>
      <c r="IN149" s="61"/>
      <c r="IO149" s="61"/>
    </row>
    <row r="150" spans="1:249" s="52" customFormat="1" ht="18.75" customHeight="1" hidden="1">
      <c r="A150" s="30" t="s">
        <v>16</v>
      </c>
      <c r="B150" s="39"/>
      <c r="C150" s="54">
        <f>SUM(D150:G150)</f>
        <v>1862</v>
      </c>
      <c r="D150" s="54">
        <v>35</v>
      </c>
      <c r="E150" s="54">
        <f>173+1292</f>
        <v>1465</v>
      </c>
      <c r="F150" s="54">
        <v>0</v>
      </c>
      <c r="G150" s="54">
        <v>362</v>
      </c>
      <c r="H150" s="118"/>
      <c r="I150" s="54">
        <v>362</v>
      </c>
      <c r="J150" s="54">
        <v>1862</v>
      </c>
      <c r="K150" s="55"/>
      <c r="L150" s="56"/>
      <c r="M150" s="56"/>
      <c r="IK150" s="53"/>
      <c r="IL150" s="53"/>
      <c r="IM150" s="53"/>
      <c r="IN150" s="53"/>
      <c r="IO150" s="53"/>
    </row>
    <row r="151" spans="1:249" s="52" customFormat="1" ht="15" customHeight="1" hidden="1">
      <c r="A151" s="30" t="s">
        <v>17</v>
      </c>
      <c r="B151" s="39"/>
      <c r="C151" s="54">
        <f>SUM(D151:G151)</f>
        <v>4656</v>
      </c>
      <c r="D151" s="54">
        <v>87</v>
      </c>
      <c r="E151" s="54">
        <f>431+3231</f>
        <v>3662</v>
      </c>
      <c r="F151" s="54">
        <v>0</v>
      </c>
      <c r="G151" s="54">
        <v>907</v>
      </c>
      <c r="H151" s="118"/>
      <c r="I151" s="54">
        <v>907</v>
      </c>
      <c r="J151" s="54">
        <v>4656</v>
      </c>
      <c r="K151" s="55"/>
      <c r="L151" s="56"/>
      <c r="M151" s="56"/>
      <c r="IK151" s="53"/>
      <c r="IL151" s="53"/>
      <c r="IM151" s="53"/>
      <c r="IN151" s="53"/>
      <c r="IO151" s="53"/>
    </row>
    <row r="152" spans="1:249" s="52" customFormat="1" ht="17.25" customHeight="1" hidden="1">
      <c r="A152" s="30" t="s">
        <v>18</v>
      </c>
      <c r="B152" s="39"/>
      <c r="C152" s="54">
        <f>SUM(D152:G152)</f>
        <v>103</v>
      </c>
      <c r="D152" s="54">
        <v>103</v>
      </c>
      <c r="E152" s="54">
        <v>0</v>
      </c>
      <c r="F152" s="54">
        <v>0</v>
      </c>
      <c r="G152" s="54">
        <v>0</v>
      </c>
      <c r="H152" s="118"/>
      <c r="I152" s="54">
        <v>0</v>
      </c>
      <c r="J152" s="54">
        <v>103</v>
      </c>
      <c r="K152" s="55"/>
      <c r="L152" s="56"/>
      <c r="M152" s="56"/>
      <c r="IK152" s="53"/>
      <c r="IL152" s="53"/>
      <c r="IM152" s="53"/>
      <c r="IN152" s="53"/>
      <c r="IO152" s="53"/>
    </row>
    <row r="153" spans="1:249" s="65" customFormat="1" ht="18" customHeight="1" hidden="1">
      <c r="A153" s="34" t="s">
        <v>19</v>
      </c>
      <c r="B153" s="63"/>
      <c r="C153" s="80">
        <f>SUM(D153:G153)</f>
        <v>316</v>
      </c>
      <c r="D153" s="54">
        <v>11</v>
      </c>
      <c r="E153" s="54">
        <f>72+147</f>
        <v>219</v>
      </c>
      <c r="F153" s="54">
        <v>0</v>
      </c>
      <c r="G153" s="54">
        <v>86</v>
      </c>
      <c r="H153" s="120"/>
      <c r="I153" s="54">
        <v>86</v>
      </c>
      <c r="J153" s="80">
        <v>316</v>
      </c>
      <c r="K153" s="55"/>
      <c r="L153" s="55"/>
      <c r="M153" s="55"/>
      <c r="IK153" s="66"/>
      <c r="IL153" s="66"/>
      <c r="IM153" s="66"/>
      <c r="IN153" s="66"/>
      <c r="IO153" s="66"/>
    </row>
    <row r="154" spans="1:249" s="52" customFormat="1" ht="72.75" customHeight="1">
      <c r="A154" s="50" t="s">
        <v>38</v>
      </c>
      <c r="B154" s="21" t="s">
        <v>90</v>
      </c>
      <c r="C154" s="23">
        <f aca="true" t="shared" si="5" ref="C154:C161">D154+E154+F154+G154</f>
        <v>0</v>
      </c>
      <c r="D154" s="23">
        <f>SUM(D155:D157)</f>
        <v>0</v>
      </c>
      <c r="E154" s="23">
        <f>SUM(E155:E157)</f>
        <v>0</v>
      </c>
      <c r="F154" s="23">
        <f>SUM(F155:F157)</f>
        <v>0</v>
      </c>
      <c r="G154" s="23">
        <f>SUM(G155:G157)</f>
        <v>0</v>
      </c>
      <c r="H154" s="118">
        <v>2</v>
      </c>
      <c r="I154" s="23">
        <f>SUM(I155:I157)</f>
        <v>2</v>
      </c>
      <c r="J154" s="23">
        <f>J155+J156+J157</f>
        <v>2</v>
      </c>
      <c r="K154" s="55"/>
      <c r="L154" s="56"/>
      <c r="M154" s="56"/>
      <c r="IK154" s="53"/>
      <c r="IL154" s="53"/>
      <c r="IM154" s="53"/>
      <c r="IN154" s="53"/>
      <c r="IO154" s="53"/>
    </row>
    <row r="155" spans="1:249" s="52" customFormat="1" ht="16.5" customHeight="1">
      <c r="A155" s="26" t="s">
        <v>13</v>
      </c>
      <c r="B155" s="125"/>
      <c r="C155" s="54">
        <f t="shared" si="5"/>
        <v>0</v>
      </c>
      <c r="D155" s="54">
        <v>0</v>
      </c>
      <c r="E155" s="54">
        <v>0</v>
      </c>
      <c r="F155" s="54">
        <v>0</v>
      </c>
      <c r="G155" s="54">
        <v>0</v>
      </c>
      <c r="H155" s="118">
        <v>0</v>
      </c>
      <c r="I155" s="54">
        <v>0</v>
      </c>
      <c r="J155" s="54">
        <f aca="true" t="shared" si="6" ref="J155:J161">D155+E155+F155+I155</f>
        <v>0</v>
      </c>
      <c r="K155" s="55"/>
      <c r="L155" s="56"/>
      <c r="M155" s="56"/>
      <c r="IK155" s="53"/>
      <c r="IL155" s="53"/>
      <c r="IM155" s="53"/>
      <c r="IN155" s="53"/>
      <c r="IO155" s="53"/>
    </row>
    <row r="156" spans="1:249" s="52" customFormat="1" ht="16.5" customHeight="1">
      <c r="A156" s="30" t="s">
        <v>14</v>
      </c>
      <c r="B156" s="125"/>
      <c r="C156" s="54">
        <f t="shared" si="5"/>
        <v>0</v>
      </c>
      <c r="D156" s="54">
        <v>0</v>
      </c>
      <c r="E156" s="54">
        <v>0</v>
      </c>
      <c r="F156" s="54">
        <v>0</v>
      </c>
      <c r="G156" s="54">
        <v>0</v>
      </c>
      <c r="H156" s="118">
        <v>2</v>
      </c>
      <c r="I156" s="54">
        <f>G156+H156</f>
        <v>2</v>
      </c>
      <c r="J156" s="54">
        <f t="shared" si="6"/>
        <v>2</v>
      </c>
      <c r="K156" s="55"/>
      <c r="L156" s="56"/>
      <c r="M156" s="56"/>
      <c r="IK156" s="53"/>
      <c r="IL156" s="53"/>
      <c r="IM156" s="53"/>
      <c r="IN156" s="53"/>
      <c r="IO156" s="53"/>
    </row>
    <row r="157" spans="1:249" s="52" customFormat="1" ht="15.75" customHeight="1">
      <c r="A157" s="30" t="s">
        <v>15</v>
      </c>
      <c r="B157" s="125"/>
      <c r="C157" s="54">
        <f t="shared" si="5"/>
        <v>0</v>
      </c>
      <c r="D157" s="54">
        <v>0</v>
      </c>
      <c r="E157" s="54">
        <v>0</v>
      </c>
      <c r="F157" s="54">
        <v>0</v>
      </c>
      <c r="G157" s="54">
        <v>0</v>
      </c>
      <c r="H157" s="118">
        <v>0</v>
      </c>
      <c r="I157" s="54">
        <v>0</v>
      </c>
      <c r="J157" s="54">
        <f t="shared" si="6"/>
        <v>0</v>
      </c>
      <c r="K157" s="55"/>
      <c r="L157" s="56"/>
      <c r="M157" s="56"/>
      <c r="IK157" s="53"/>
      <c r="IL157" s="53"/>
      <c r="IM157" s="53"/>
      <c r="IN157" s="53"/>
      <c r="IO157" s="53"/>
    </row>
    <row r="158" spans="1:249" s="52" customFormat="1" ht="74.25" customHeight="1">
      <c r="A158" s="50" t="s">
        <v>38</v>
      </c>
      <c r="B158" s="21" t="s">
        <v>89</v>
      </c>
      <c r="C158" s="23">
        <f t="shared" si="5"/>
        <v>0</v>
      </c>
      <c r="D158" s="23">
        <f>SUM(D159:D161)</f>
        <v>0</v>
      </c>
      <c r="E158" s="23">
        <f>SUM(E159:E161)</f>
        <v>0</v>
      </c>
      <c r="F158" s="23">
        <f>SUM(F159:F161)</f>
        <v>0</v>
      </c>
      <c r="G158" s="23">
        <f>SUM(G159:G161)</f>
        <v>0</v>
      </c>
      <c r="H158" s="118">
        <v>2</v>
      </c>
      <c r="I158" s="23">
        <f>SUM(I159:I161)</f>
        <v>2</v>
      </c>
      <c r="J158" s="54">
        <f t="shared" si="6"/>
        <v>2</v>
      </c>
      <c r="K158" s="55"/>
      <c r="L158" s="56"/>
      <c r="M158" s="56"/>
      <c r="IK158" s="53"/>
      <c r="IL158" s="53"/>
      <c r="IM158" s="53"/>
      <c r="IN158" s="53"/>
      <c r="IO158" s="53"/>
    </row>
    <row r="159" spans="1:249" s="52" customFormat="1" ht="16.5" customHeight="1">
      <c r="A159" s="26" t="s">
        <v>13</v>
      </c>
      <c r="B159" s="125"/>
      <c r="C159" s="54">
        <f t="shared" si="5"/>
        <v>0</v>
      </c>
      <c r="D159" s="54">
        <v>0</v>
      </c>
      <c r="E159" s="54">
        <v>0</v>
      </c>
      <c r="F159" s="54">
        <v>0</v>
      </c>
      <c r="G159" s="54">
        <v>0</v>
      </c>
      <c r="H159" s="118">
        <v>0</v>
      </c>
      <c r="I159" s="54">
        <v>0</v>
      </c>
      <c r="J159" s="54">
        <f t="shared" si="6"/>
        <v>0</v>
      </c>
      <c r="K159" s="55"/>
      <c r="L159" s="56"/>
      <c r="M159" s="56"/>
      <c r="IK159" s="53"/>
      <c r="IL159" s="53"/>
      <c r="IM159" s="53"/>
      <c r="IN159" s="53"/>
      <c r="IO159" s="53"/>
    </row>
    <row r="160" spans="1:249" s="52" customFormat="1" ht="16.5" customHeight="1">
      <c r="A160" s="30" t="s">
        <v>14</v>
      </c>
      <c r="B160" s="125"/>
      <c r="C160" s="54">
        <f t="shared" si="5"/>
        <v>0</v>
      </c>
      <c r="D160" s="54">
        <v>0</v>
      </c>
      <c r="E160" s="54">
        <v>0</v>
      </c>
      <c r="F160" s="54">
        <v>0</v>
      </c>
      <c r="G160" s="54">
        <v>0</v>
      </c>
      <c r="H160" s="118">
        <v>2</v>
      </c>
      <c r="I160" s="54">
        <v>2</v>
      </c>
      <c r="J160" s="54">
        <f t="shared" si="6"/>
        <v>2</v>
      </c>
      <c r="K160" s="55"/>
      <c r="L160" s="56"/>
      <c r="M160" s="56"/>
      <c r="IK160" s="53"/>
      <c r="IL160" s="53"/>
      <c r="IM160" s="53"/>
      <c r="IN160" s="53"/>
      <c r="IO160" s="53"/>
    </row>
    <row r="161" spans="1:249" s="52" customFormat="1" ht="15.75" customHeight="1">
      <c r="A161" s="30" t="s">
        <v>15</v>
      </c>
      <c r="B161" s="125"/>
      <c r="C161" s="54">
        <f t="shared" si="5"/>
        <v>0</v>
      </c>
      <c r="D161" s="54">
        <v>0</v>
      </c>
      <c r="E161" s="54">
        <v>0</v>
      </c>
      <c r="F161" s="54">
        <v>0</v>
      </c>
      <c r="G161" s="54">
        <v>0</v>
      </c>
      <c r="H161" s="118">
        <v>0</v>
      </c>
      <c r="I161" s="54">
        <v>0</v>
      </c>
      <c r="J161" s="54">
        <f t="shared" si="6"/>
        <v>0</v>
      </c>
      <c r="K161" s="55"/>
      <c r="L161" s="56"/>
      <c r="M161" s="56"/>
      <c r="IK161" s="53"/>
      <c r="IL161" s="53"/>
      <c r="IM161" s="53"/>
      <c r="IN161" s="53"/>
      <c r="IO161" s="53"/>
    </row>
    <row r="162" spans="1:249" s="60" customFormat="1" ht="18.75" customHeight="1">
      <c r="A162" s="131" t="s">
        <v>41</v>
      </c>
      <c r="B162" s="131"/>
      <c r="C162" s="32">
        <f>C134+C144+C154+C158</f>
        <v>20416</v>
      </c>
      <c r="D162" s="32">
        <f>D134+D144+D154+D158</f>
        <v>246</v>
      </c>
      <c r="E162" s="32">
        <f>E134+E144+E154+E158</f>
        <v>12888</v>
      </c>
      <c r="F162" s="32">
        <f>F134+F144+F154+F158</f>
        <v>2963</v>
      </c>
      <c r="G162" s="32">
        <f>G134+G144+G154+G158</f>
        <v>4319</v>
      </c>
      <c r="H162" s="119">
        <v>0</v>
      </c>
      <c r="I162" s="32">
        <f>I134+I144+I154+I158</f>
        <v>4319</v>
      </c>
      <c r="J162" s="32">
        <v>20416</v>
      </c>
      <c r="K162" s="58"/>
      <c r="L162" s="59"/>
      <c r="M162" s="59"/>
      <c r="IK162" s="61"/>
      <c r="IL162" s="61"/>
      <c r="IM162" s="61"/>
      <c r="IN162" s="61"/>
      <c r="IO162" s="61"/>
    </row>
    <row r="163" spans="1:249" s="52" customFormat="1" ht="19.5" customHeight="1">
      <c r="A163" s="132" t="s">
        <v>42</v>
      </c>
      <c r="B163" s="132"/>
      <c r="C163" s="132"/>
      <c r="D163" s="71"/>
      <c r="E163" s="71"/>
      <c r="F163" s="71"/>
      <c r="G163" s="71"/>
      <c r="H163" s="118"/>
      <c r="I163" s="71"/>
      <c r="J163" s="71"/>
      <c r="K163" s="55"/>
      <c r="L163" s="56"/>
      <c r="M163" s="56"/>
      <c r="IK163" s="53"/>
      <c r="IL163" s="53"/>
      <c r="IM163" s="53"/>
      <c r="IN163" s="53"/>
      <c r="IO163" s="53"/>
    </row>
    <row r="164" spans="1:249" s="52" customFormat="1" ht="32.25" customHeight="1">
      <c r="A164" s="82" t="s">
        <v>43</v>
      </c>
      <c r="B164" s="45" t="s">
        <v>44</v>
      </c>
      <c r="C164" s="23">
        <f>D164+E164+F164+G164</f>
        <v>155</v>
      </c>
      <c r="D164" s="23">
        <f>D165+D166+D167</f>
        <v>0</v>
      </c>
      <c r="E164" s="23">
        <f>E165+E166+E167</f>
        <v>155</v>
      </c>
      <c r="F164" s="23">
        <f>F165+F166+F167</f>
        <v>0</v>
      </c>
      <c r="G164" s="23">
        <f>G165+G166+G167</f>
        <v>0</v>
      </c>
      <c r="H164" s="118">
        <v>0</v>
      </c>
      <c r="I164" s="23">
        <f>I165+I166+I167</f>
        <v>0</v>
      </c>
      <c r="J164" s="23">
        <v>155</v>
      </c>
      <c r="K164" s="51"/>
      <c r="L164" s="51"/>
      <c r="M164" s="51"/>
      <c r="N164" s="51"/>
      <c r="IK164" s="53"/>
      <c r="IL164" s="53"/>
      <c r="IM164" s="53"/>
      <c r="IN164" s="53"/>
      <c r="IO164" s="53"/>
    </row>
    <row r="165" spans="1:249" s="52" customFormat="1" ht="16.5" customHeight="1">
      <c r="A165" s="26" t="s">
        <v>13</v>
      </c>
      <c r="B165" s="39"/>
      <c r="C165" s="54">
        <f>D165+E165+F165+G165</f>
        <v>0</v>
      </c>
      <c r="D165" s="54">
        <f>ROUNDUP((K165*0.15),0)</f>
        <v>0</v>
      </c>
      <c r="E165" s="54">
        <f>L165*0.15</f>
        <v>0</v>
      </c>
      <c r="F165" s="54">
        <f>M165*0.15</f>
        <v>0</v>
      </c>
      <c r="G165" s="54">
        <f>N165*0.15</f>
        <v>0</v>
      </c>
      <c r="H165" s="118">
        <f>H164</f>
        <v>0</v>
      </c>
      <c r="I165" s="54">
        <f>P165*0.15</f>
        <v>0</v>
      </c>
      <c r="J165" s="54">
        <v>0</v>
      </c>
      <c r="K165" s="128"/>
      <c r="L165" s="128"/>
      <c r="M165" s="129"/>
      <c r="N165" s="129"/>
      <c r="IK165" s="53"/>
      <c r="IL165" s="53"/>
      <c r="IM165" s="53"/>
      <c r="IN165" s="53"/>
      <c r="IO165" s="53"/>
    </row>
    <row r="166" spans="1:249" s="52" customFormat="1" ht="16.5" customHeight="1">
      <c r="A166" s="30" t="s">
        <v>14</v>
      </c>
      <c r="B166" s="39"/>
      <c r="C166" s="54">
        <f>D166+E166+F166+G166</f>
        <v>0</v>
      </c>
      <c r="D166" s="54">
        <f>ROUNDDOWN((K165*0.85),0)</f>
        <v>0</v>
      </c>
      <c r="E166" s="54">
        <f>L165*0.85</f>
        <v>0</v>
      </c>
      <c r="F166" s="54">
        <f>M165*0.85</f>
        <v>0</v>
      </c>
      <c r="G166" s="54">
        <f>N165*0.85</f>
        <v>0</v>
      </c>
      <c r="H166" s="118">
        <f aca="true" t="shared" si="7" ref="H166:H195">H165</f>
        <v>0</v>
      </c>
      <c r="I166" s="54">
        <f>P165*0.85</f>
        <v>0</v>
      </c>
      <c r="J166" s="54">
        <v>0</v>
      </c>
      <c r="K166" s="128"/>
      <c r="L166" s="128"/>
      <c r="M166" s="128"/>
      <c r="N166" s="129"/>
      <c r="IK166" s="53"/>
      <c r="IL166" s="53"/>
      <c r="IM166" s="53"/>
      <c r="IN166" s="53"/>
      <c r="IO166" s="53"/>
    </row>
    <row r="167" spans="1:249" s="52" customFormat="1" ht="16.5" customHeight="1">
      <c r="A167" s="30" t="s">
        <v>15</v>
      </c>
      <c r="B167" s="39"/>
      <c r="C167" s="54">
        <f>D167+E167+F167+G167</f>
        <v>155</v>
      </c>
      <c r="D167" s="54">
        <v>0</v>
      </c>
      <c r="E167" s="54">
        <v>155</v>
      </c>
      <c r="F167" s="54">
        <f>M167</f>
        <v>0</v>
      </c>
      <c r="G167" s="54">
        <f>N167</f>
        <v>0</v>
      </c>
      <c r="H167" s="118">
        <f t="shared" si="7"/>
        <v>0</v>
      </c>
      <c r="I167" s="54">
        <f>P167</f>
        <v>0</v>
      </c>
      <c r="J167" s="54">
        <v>155</v>
      </c>
      <c r="K167" s="51"/>
      <c r="L167" s="51"/>
      <c r="M167" s="51"/>
      <c r="IK167" s="53"/>
      <c r="IL167" s="53"/>
      <c r="IM167" s="53"/>
      <c r="IN167" s="53"/>
      <c r="IO167" s="53"/>
    </row>
    <row r="168" spans="1:249" s="52" customFormat="1" ht="16.5" customHeight="1" hidden="1">
      <c r="A168" s="30"/>
      <c r="B168" s="39"/>
      <c r="C168" s="54"/>
      <c r="D168" s="54"/>
      <c r="E168" s="54"/>
      <c r="F168" s="54"/>
      <c r="G168" s="54"/>
      <c r="H168" s="118">
        <f t="shared" si="7"/>
        <v>0</v>
      </c>
      <c r="I168" s="54"/>
      <c r="J168" s="54"/>
      <c r="K168" s="55"/>
      <c r="L168" s="56"/>
      <c r="M168" s="56"/>
      <c r="IK168" s="53"/>
      <c r="IL168" s="53"/>
      <c r="IM168" s="53"/>
      <c r="IN168" s="53"/>
      <c r="IO168" s="53"/>
    </row>
    <row r="169" spans="1:249" s="60" customFormat="1" ht="16.5" customHeight="1" hidden="1">
      <c r="A169" s="31"/>
      <c r="B169" s="45"/>
      <c r="C169" s="57">
        <f>C170+C171+C172+C174+C173</f>
        <v>155</v>
      </c>
      <c r="D169" s="57">
        <f>D170+D171+D172+D174+D173</f>
        <v>0</v>
      </c>
      <c r="E169" s="57">
        <f>E170+E171+E172+E174+E173</f>
        <v>155</v>
      </c>
      <c r="F169" s="57">
        <f>F170+F171+F172+F174+F173</f>
        <v>0</v>
      </c>
      <c r="G169" s="57">
        <f>G170+G171+G172+G174+G173</f>
        <v>0</v>
      </c>
      <c r="H169" s="118">
        <f t="shared" si="7"/>
        <v>0</v>
      </c>
      <c r="I169" s="57">
        <f>I170+I171+I172+I174+I173</f>
        <v>0</v>
      </c>
      <c r="J169" s="57">
        <v>155</v>
      </c>
      <c r="K169" s="58"/>
      <c r="L169" s="59"/>
      <c r="M169" s="59"/>
      <c r="IK169" s="61"/>
      <c r="IL169" s="61"/>
      <c r="IM169" s="61"/>
      <c r="IN169" s="61"/>
      <c r="IO169" s="61"/>
    </row>
    <row r="170" spans="1:249" s="52" customFormat="1" ht="16.5" customHeight="1" hidden="1">
      <c r="A170" s="30" t="s">
        <v>16</v>
      </c>
      <c r="B170" s="39"/>
      <c r="C170" s="62">
        <f aca="true" t="shared" si="8" ref="C170:C178">D170+E170+F170+G170</f>
        <v>0</v>
      </c>
      <c r="D170" s="62">
        <f>K165*0.13</f>
        <v>0</v>
      </c>
      <c r="E170" s="62">
        <f>L165*0.13</f>
        <v>0</v>
      </c>
      <c r="F170" s="62">
        <f>M165*0.13</f>
        <v>0</v>
      </c>
      <c r="G170" s="62">
        <f>N165*0.13</f>
        <v>0</v>
      </c>
      <c r="H170" s="118">
        <f t="shared" si="7"/>
        <v>0</v>
      </c>
      <c r="I170" s="62">
        <f>P165*0.13</f>
        <v>0</v>
      </c>
      <c r="J170" s="62">
        <v>0</v>
      </c>
      <c r="K170" s="55"/>
      <c r="L170" s="56"/>
      <c r="M170" s="56"/>
      <c r="IK170" s="53"/>
      <c r="IL170" s="53"/>
      <c r="IM170" s="53"/>
      <c r="IN170" s="53"/>
      <c r="IO170" s="53"/>
    </row>
    <row r="171" spans="1:249" s="52" customFormat="1" ht="16.5" customHeight="1" hidden="1">
      <c r="A171" s="30" t="s">
        <v>17</v>
      </c>
      <c r="B171" s="39"/>
      <c r="C171" s="62">
        <f t="shared" si="8"/>
        <v>0</v>
      </c>
      <c r="D171" s="62">
        <f>K165*0.85</f>
        <v>0</v>
      </c>
      <c r="E171" s="62">
        <f>L165*0.85</f>
        <v>0</v>
      </c>
      <c r="F171" s="62">
        <f>M165*0.85</f>
        <v>0</v>
      </c>
      <c r="G171" s="62">
        <f>N165*0.85</f>
        <v>0</v>
      </c>
      <c r="H171" s="118">
        <f t="shared" si="7"/>
        <v>0</v>
      </c>
      <c r="I171" s="62">
        <f>P165*0.85</f>
        <v>0</v>
      </c>
      <c r="J171" s="62">
        <v>0</v>
      </c>
      <c r="K171" s="55"/>
      <c r="L171" s="56"/>
      <c r="M171" s="56"/>
      <c r="IK171" s="53"/>
      <c r="IL171" s="53"/>
      <c r="IM171" s="53"/>
      <c r="IN171" s="53"/>
      <c r="IO171" s="53"/>
    </row>
    <row r="172" spans="1:249" s="52" customFormat="1" ht="16.5" customHeight="1" hidden="1">
      <c r="A172" s="30" t="s">
        <v>18</v>
      </c>
      <c r="B172" s="39"/>
      <c r="C172" s="62">
        <f t="shared" si="8"/>
        <v>0</v>
      </c>
      <c r="D172" s="62"/>
      <c r="E172" s="62"/>
      <c r="F172" s="62"/>
      <c r="G172" s="62"/>
      <c r="H172" s="118">
        <f t="shared" si="7"/>
        <v>0</v>
      </c>
      <c r="I172" s="62"/>
      <c r="J172" s="62">
        <v>0</v>
      </c>
      <c r="K172" s="55"/>
      <c r="L172" s="56"/>
      <c r="M172" s="56"/>
      <c r="IK172" s="53"/>
      <c r="IL172" s="53"/>
      <c r="IM172" s="53"/>
      <c r="IN172" s="53"/>
      <c r="IO172" s="53"/>
    </row>
    <row r="173" spans="1:249" s="52" customFormat="1" ht="16.5" customHeight="1" hidden="1">
      <c r="A173" s="30" t="s">
        <v>28</v>
      </c>
      <c r="B173" s="39"/>
      <c r="C173" s="62">
        <f t="shared" si="8"/>
        <v>0</v>
      </c>
      <c r="D173" s="62"/>
      <c r="E173" s="62"/>
      <c r="F173" s="62"/>
      <c r="G173" s="62">
        <v>0</v>
      </c>
      <c r="H173" s="118">
        <f t="shared" si="7"/>
        <v>0</v>
      </c>
      <c r="I173" s="62">
        <v>0</v>
      </c>
      <c r="J173" s="62">
        <v>0</v>
      </c>
      <c r="K173" s="55"/>
      <c r="L173" s="56"/>
      <c r="M173" s="56"/>
      <c r="IK173" s="53"/>
      <c r="IL173" s="53"/>
      <c r="IM173" s="53"/>
      <c r="IN173" s="53"/>
      <c r="IO173" s="53"/>
    </row>
    <row r="174" spans="1:249" s="65" customFormat="1" ht="14.25" hidden="1">
      <c r="A174" s="34" t="s">
        <v>19</v>
      </c>
      <c r="B174" s="63"/>
      <c r="C174" s="64">
        <f t="shared" si="8"/>
        <v>155</v>
      </c>
      <c r="D174" s="62">
        <v>0</v>
      </c>
      <c r="E174" s="62">
        <f>E167</f>
        <v>155</v>
      </c>
      <c r="F174" s="62">
        <f>M165*2/100+M167</f>
        <v>0</v>
      </c>
      <c r="G174" s="62">
        <f>N165*2/100+N167</f>
        <v>0</v>
      </c>
      <c r="H174" s="118">
        <f t="shared" si="7"/>
        <v>0</v>
      </c>
      <c r="I174" s="62">
        <f>P165*2/100+P167</f>
        <v>0</v>
      </c>
      <c r="J174" s="64">
        <v>155</v>
      </c>
      <c r="K174" s="55"/>
      <c r="L174" s="55"/>
      <c r="M174" s="55"/>
      <c r="IK174" s="66"/>
      <c r="IL174" s="66"/>
      <c r="IM174" s="66"/>
      <c r="IN174" s="66"/>
      <c r="IO174" s="66"/>
    </row>
    <row r="175" spans="1:249" s="65" customFormat="1" ht="16.5" customHeight="1">
      <c r="A175" s="82" t="s">
        <v>43</v>
      </c>
      <c r="B175" s="45" t="s">
        <v>45</v>
      </c>
      <c r="C175" s="23">
        <f t="shared" si="8"/>
        <v>560</v>
      </c>
      <c r="D175" s="71">
        <f>D176+D177+D178</f>
        <v>560</v>
      </c>
      <c r="E175" s="71">
        <v>0</v>
      </c>
      <c r="F175" s="71">
        <v>0</v>
      </c>
      <c r="G175" s="71">
        <v>0</v>
      </c>
      <c r="H175" s="118">
        <f t="shared" si="7"/>
        <v>0</v>
      </c>
      <c r="I175" s="71">
        <v>0</v>
      </c>
      <c r="J175" s="23">
        <v>560</v>
      </c>
      <c r="K175" s="55"/>
      <c r="L175" s="55"/>
      <c r="M175" s="55"/>
      <c r="IK175" s="66"/>
      <c r="IL175" s="66"/>
      <c r="IM175" s="66"/>
      <c r="IN175" s="66"/>
      <c r="IO175" s="66"/>
    </row>
    <row r="176" spans="1:249" s="65" customFormat="1" ht="16.5" customHeight="1">
      <c r="A176" s="26" t="s">
        <v>13</v>
      </c>
      <c r="B176" s="124"/>
      <c r="C176" s="54">
        <f t="shared" si="8"/>
        <v>84</v>
      </c>
      <c r="D176" s="54">
        <v>84</v>
      </c>
      <c r="E176" s="54">
        <v>0</v>
      </c>
      <c r="F176" s="54">
        <v>0</v>
      </c>
      <c r="G176" s="54">
        <v>0</v>
      </c>
      <c r="H176" s="118">
        <f t="shared" si="7"/>
        <v>0</v>
      </c>
      <c r="I176" s="54">
        <v>0</v>
      </c>
      <c r="J176" s="54">
        <v>84</v>
      </c>
      <c r="K176" s="55"/>
      <c r="L176" s="55"/>
      <c r="M176" s="55"/>
      <c r="IK176" s="66"/>
      <c r="IL176" s="66"/>
      <c r="IM176" s="66"/>
      <c r="IN176" s="66"/>
      <c r="IO176" s="66"/>
    </row>
    <row r="177" spans="1:249" s="65" customFormat="1" ht="16.5" customHeight="1">
      <c r="A177" s="30" t="s">
        <v>14</v>
      </c>
      <c r="B177" s="124"/>
      <c r="C177" s="54">
        <f t="shared" si="8"/>
        <v>476</v>
      </c>
      <c r="D177" s="54">
        <v>476</v>
      </c>
      <c r="E177" s="54">
        <v>0</v>
      </c>
      <c r="F177" s="54">
        <v>0</v>
      </c>
      <c r="G177" s="54">
        <v>0</v>
      </c>
      <c r="H177" s="118">
        <f t="shared" si="7"/>
        <v>0</v>
      </c>
      <c r="I177" s="54">
        <v>0</v>
      </c>
      <c r="J177" s="54">
        <v>476</v>
      </c>
      <c r="K177" s="55"/>
      <c r="L177" s="55"/>
      <c r="M177" s="55"/>
      <c r="IK177" s="66"/>
      <c r="IL177" s="66"/>
      <c r="IM177" s="66"/>
      <c r="IN177" s="66"/>
      <c r="IO177" s="66"/>
    </row>
    <row r="178" spans="1:249" s="65" customFormat="1" ht="16.5" customHeight="1">
      <c r="A178" s="30" t="s">
        <v>15</v>
      </c>
      <c r="B178" s="124"/>
      <c r="C178" s="54">
        <f t="shared" si="8"/>
        <v>0</v>
      </c>
      <c r="D178" s="54">
        <v>0</v>
      </c>
      <c r="E178" s="54">
        <v>0</v>
      </c>
      <c r="F178" s="54">
        <v>0</v>
      </c>
      <c r="G178" s="54">
        <v>0</v>
      </c>
      <c r="H178" s="118">
        <f t="shared" si="7"/>
        <v>0</v>
      </c>
      <c r="I178" s="54">
        <v>0</v>
      </c>
      <c r="J178" s="54">
        <v>0</v>
      </c>
      <c r="K178" s="55"/>
      <c r="L178" s="55"/>
      <c r="M178" s="55"/>
      <c r="IK178" s="66"/>
      <c r="IL178" s="66"/>
      <c r="IM178" s="66"/>
      <c r="IN178" s="66"/>
      <c r="IO178" s="66"/>
    </row>
    <row r="179" spans="1:249" s="65" customFormat="1" ht="16.5" customHeight="1" hidden="1">
      <c r="A179" s="30"/>
      <c r="B179" s="39"/>
      <c r="C179" s="54"/>
      <c r="D179" s="54"/>
      <c r="E179" s="54"/>
      <c r="F179" s="54"/>
      <c r="G179" s="54"/>
      <c r="H179" s="118">
        <f t="shared" si="7"/>
        <v>0</v>
      </c>
      <c r="I179" s="54"/>
      <c r="J179" s="54"/>
      <c r="K179" s="55"/>
      <c r="L179" s="55"/>
      <c r="M179" s="55"/>
      <c r="IK179" s="66"/>
      <c r="IL179" s="66"/>
      <c r="IM179" s="66"/>
      <c r="IN179" s="66"/>
      <c r="IO179" s="66"/>
    </row>
    <row r="180" spans="1:249" s="65" customFormat="1" ht="16.5" customHeight="1" hidden="1">
      <c r="A180" s="31"/>
      <c r="B180" s="45"/>
      <c r="C180" s="71">
        <f>C181+C182+C183+C184</f>
        <v>4137</v>
      </c>
      <c r="D180" s="71">
        <f>D181+D182+D183+D184</f>
        <v>560</v>
      </c>
      <c r="E180" s="71">
        <v>850</v>
      </c>
      <c r="F180" s="71">
        <v>2207</v>
      </c>
      <c r="G180" s="71">
        <v>520</v>
      </c>
      <c r="H180" s="118">
        <f t="shared" si="7"/>
        <v>0</v>
      </c>
      <c r="I180" s="71">
        <v>520</v>
      </c>
      <c r="J180" s="71">
        <v>4137</v>
      </c>
      <c r="K180" s="55"/>
      <c r="L180" s="55"/>
      <c r="M180" s="55"/>
      <c r="IK180" s="66"/>
      <c r="IL180" s="66"/>
      <c r="IM180" s="66"/>
      <c r="IN180" s="66"/>
      <c r="IO180" s="66"/>
    </row>
    <row r="181" spans="1:249" s="65" customFormat="1" ht="16.5" customHeight="1" hidden="1">
      <c r="A181" s="30" t="s">
        <v>16</v>
      </c>
      <c r="B181" s="39"/>
      <c r="C181" s="54">
        <f>SUM(D181:G181)</f>
        <v>609.55</v>
      </c>
      <c r="D181" s="54">
        <v>73</v>
      </c>
      <c r="E181" s="54">
        <f>E180*15%</f>
        <v>127.5</v>
      </c>
      <c r="F181" s="54">
        <f>F180*15%</f>
        <v>331.05</v>
      </c>
      <c r="G181" s="54">
        <f>G180*15%</f>
        <v>78</v>
      </c>
      <c r="H181" s="118">
        <f t="shared" si="7"/>
        <v>0</v>
      </c>
      <c r="I181" s="54">
        <f>I180*15%</f>
        <v>78</v>
      </c>
      <c r="J181" s="54">
        <v>609.55</v>
      </c>
      <c r="K181" s="55"/>
      <c r="L181" s="55"/>
      <c r="M181" s="55"/>
      <c r="IK181" s="66"/>
      <c r="IL181" s="66"/>
      <c r="IM181" s="66"/>
      <c r="IN181" s="66"/>
      <c r="IO181" s="66"/>
    </row>
    <row r="182" spans="1:249" s="65" customFormat="1" ht="16.5" customHeight="1" hidden="1">
      <c r="A182" s="30" t="s">
        <v>17</v>
      </c>
      <c r="B182" s="39"/>
      <c r="C182" s="54">
        <f>SUM(D182:G182)</f>
        <v>476</v>
      </c>
      <c r="D182" s="54">
        <v>476</v>
      </c>
      <c r="E182" s="54">
        <v>0</v>
      </c>
      <c r="F182" s="54">
        <v>0</v>
      </c>
      <c r="G182" s="54">
        <v>0</v>
      </c>
      <c r="H182" s="118">
        <f t="shared" si="7"/>
        <v>0</v>
      </c>
      <c r="I182" s="54">
        <v>0</v>
      </c>
      <c r="J182" s="54">
        <v>476</v>
      </c>
      <c r="K182" s="55"/>
      <c r="L182" s="55"/>
      <c r="M182" s="55"/>
      <c r="IK182" s="66"/>
      <c r="IL182" s="66"/>
      <c r="IM182" s="66"/>
      <c r="IN182" s="66"/>
      <c r="IO182" s="66"/>
    </row>
    <row r="183" spans="1:249" s="65" customFormat="1" ht="16.5" customHeight="1" hidden="1">
      <c r="A183" s="30" t="s">
        <v>18</v>
      </c>
      <c r="B183" s="39"/>
      <c r="C183" s="54">
        <f>SUM(D183:G183)</f>
        <v>3040.45</v>
      </c>
      <c r="D183" s="54">
        <v>0</v>
      </c>
      <c r="E183" s="54">
        <f>E180*0.85</f>
        <v>722.5</v>
      </c>
      <c r="F183" s="54">
        <f>F180*0.85</f>
        <v>1875.95</v>
      </c>
      <c r="G183" s="54">
        <f>G180*0.85</f>
        <v>442</v>
      </c>
      <c r="H183" s="118">
        <f t="shared" si="7"/>
        <v>0</v>
      </c>
      <c r="I183" s="54">
        <f>I180*0.85</f>
        <v>442</v>
      </c>
      <c r="J183" s="54">
        <v>3040.45</v>
      </c>
      <c r="K183" s="55"/>
      <c r="L183" s="55"/>
      <c r="M183" s="55"/>
      <c r="IK183" s="66"/>
      <c r="IL183" s="66"/>
      <c r="IM183" s="66"/>
      <c r="IN183" s="66"/>
      <c r="IO183" s="66"/>
    </row>
    <row r="184" spans="1:249" s="65" customFormat="1" ht="26.25" customHeight="1" hidden="1">
      <c r="A184" s="34" t="s">
        <v>19</v>
      </c>
      <c r="B184" s="63"/>
      <c r="C184" s="80">
        <f>SUM(D184:G184)</f>
        <v>11</v>
      </c>
      <c r="D184" s="62">
        <v>11</v>
      </c>
      <c r="E184" s="62">
        <v>0</v>
      </c>
      <c r="F184" s="62">
        <v>0</v>
      </c>
      <c r="G184" s="62">
        <v>0</v>
      </c>
      <c r="H184" s="118">
        <f t="shared" si="7"/>
        <v>0</v>
      </c>
      <c r="I184" s="62">
        <v>0</v>
      </c>
      <c r="J184" s="80">
        <v>11</v>
      </c>
      <c r="K184" s="55"/>
      <c r="L184" s="55"/>
      <c r="M184" s="55"/>
      <c r="IK184" s="66"/>
      <c r="IL184" s="66"/>
      <c r="IM184" s="66"/>
      <c r="IN184" s="66"/>
      <c r="IO184" s="66"/>
    </row>
    <row r="185" spans="1:249" s="65" customFormat="1" ht="31.5" customHeight="1">
      <c r="A185" s="82" t="s">
        <v>46</v>
      </c>
      <c r="B185" s="45" t="s">
        <v>47</v>
      </c>
      <c r="C185" s="23">
        <f>D185+E185+F185+G185</f>
        <v>160</v>
      </c>
      <c r="D185" s="23">
        <f>SUM(D186:D188)</f>
        <v>40</v>
      </c>
      <c r="E185" s="23">
        <f>SUM(E186:E188)</f>
        <v>40</v>
      </c>
      <c r="F185" s="23">
        <f>SUM(F186:F188)</f>
        <v>40</v>
      </c>
      <c r="G185" s="23">
        <f>SUM(G186:G188)</f>
        <v>40</v>
      </c>
      <c r="H185" s="118">
        <f t="shared" si="7"/>
        <v>0</v>
      </c>
      <c r="I185" s="23">
        <f>SUM(I186:I188)</f>
        <v>40</v>
      </c>
      <c r="J185" s="23">
        <v>160</v>
      </c>
      <c r="K185" s="55"/>
      <c r="L185" s="55"/>
      <c r="M185" s="55"/>
      <c r="IK185" s="66"/>
      <c r="IL185" s="66"/>
      <c r="IM185" s="66"/>
      <c r="IN185" s="66"/>
      <c r="IO185" s="66"/>
    </row>
    <row r="186" spans="1:249" s="65" customFormat="1" ht="16.5" customHeight="1">
      <c r="A186" s="26" t="s">
        <v>13</v>
      </c>
      <c r="B186" s="39"/>
      <c r="C186" s="54">
        <f>D186+E186+F186+G186</f>
        <v>24</v>
      </c>
      <c r="D186" s="54">
        <v>6</v>
      </c>
      <c r="E186" s="54">
        <v>6</v>
      </c>
      <c r="F186" s="54">
        <v>6</v>
      </c>
      <c r="G186" s="54">
        <v>6</v>
      </c>
      <c r="H186" s="118">
        <f t="shared" si="7"/>
        <v>0</v>
      </c>
      <c r="I186" s="54">
        <v>6</v>
      </c>
      <c r="J186" s="54">
        <v>24</v>
      </c>
      <c r="K186" s="55"/>
      <c r="L186" s="55"/>
      <c r="M186" s="55"/>
      <c r="IK186" s="66"/>
      <c r="IL186" s="66"/>
      <c r="IM186" s="66"/>
      <c r="IN186" s="66"/>
      <c r="IO186" s="66"/>
    </row>
    <row r="187" spans="1:249" s="65" customFormat="1" ht="16.5" customHeight="1">
      <c r="A187" s="30" t="s">
        <v>14</v>
      </c>
      <c r="B187" s="39"/>
      <c r="C187" s="54">
        <f>D187+E187+F187+G187</f>
        <v>136</v>
      </c>
      <c r="D187" s="54">
        <v>34</v>
      </c>
      <c r="E187" s="54">
        <v>34</v>
      </c>
      <c r="F187" s="54">
        <v>34</v>
      </c>
      <c r="G187" s="54">
        <v>34</v>
      </c>
      <c r="H187" s="118">
        <f t="shared" si="7"/>
        <v>0</v>
      </c>
      <c r="I187" s="54">
        <v>34</v>
      </c>
      <c r="J187" s="54">
        <v>136</v>
      </c>
      <c r="K187" s="55"/>
      <c r="L187" s="55"/>
      <c r="M187" s="55"/>
      <c r="IK187" s="66"/>
      <c r="IL187" s="66"/>
      <c r="IM187" s="66"/>
      <c r="IN187" s="66"/>
      <c r="IO187" s="66"/>
    </row>
    <row r="188" spans="1:249" s="65" customFormat="1" ht="16.5" customHeight="1">
      <c r="A188" s="30" t="s">
        <v>15</v>
      </c>
      <c r="B188" s="39"/>
      <c r="C188" s="54">
        <f>D188+E188+F188+G188</f>
        <v>0</v>
      </c>
      <c r="D188" s="54">
        <v>0</v>
      </c>
      <c r="E188" s="54">
        <v>0</v>
      </c>
      <c r="F188" s="54">
        <v>0</v>
      </c>
      <c r="G188" s="54">
        <v>0</v>
      </c>
      <c r="H188" s="118">
        <f t="shared" si="7"/>
        <v>0</v>
      </c>
      <c r="I188" s="54">
        <v>0</v>
      </c>
      <c r="J188" s="54">
        <v>0</v>
      </c>
      <c r="K188" s="55"/>
      <c r="L188" s="55"/>
      <c r="M188" s="55"/>
      <c r="IK188" s="66"/>
      <c r="IL188" s="66"/>
      <c r="IM188" s="66"/>
      <c r="IN188" s="66"/>
      <c r="IO188" s="66"/>
    </row>
    <row r="189" spans="1:249" s="65" customFormat="1" ht="16.5" customHeight="1" hidden="1">
      <c r="A189" s="30"/>
      <c r="B189" s="39"/>
      <c r="C189" s="54"/>
      <c r="D189" s="54"/>
      <c r="E189" s="54"/>
      <c r="F189" s="54"/>
      <c r="G189" s="54"/>
      <c r="H189" s="118">
        <f t="shared" si="7"/>
        <v>0</v>
      </c>
      <c r="I189" s="54"/>
      <c r="J189" s="54"/>
      <c r="K189" s="55"/>
      <c r="L189" s="55"/>
      <c r="M189" s="55"/>
      <c r="IK189" s="66"/>
      <c r="IL189" s="66"/>
      <c r="IM189" s="66"/>
      <c r="IN189" s="66"/>
      <c r="IO189" s="66"/>
    </row>
    <row r="190" spans="1:249" s="65" customFormat="1" ht="16.5" customHeight="1" hidden="1">
      <c r="A190" s="31"/>
      <c r="B190" s="45"/>
      <c r="C190" s="71">
        <f>C191+C192+C193+C194</f>
        <v>160</v>
      </c>
      <c r="D190" s="71">
        <f>D191+D192+D193+D194</f>
        <v>40</v>
      </c>
      <c r="E190" s="71">
        <f>E191+E192+E193+E194</f>
        <v>40</v>
      </c>
      <c r="F190" s="71">
        <f>F191+F192+F193+F194</f>
        <v>40</v>
      </c>
      <c r="G190" s="71">
        <f>G191+G192+G193+G194</f>
        <v>40</v>
      </c>
      <c r="H190" s="118">
        <f t="shared" si="7"/>
        <v>0</v>
      </c>
      <c r="I190" s="71">
        <f>I191+I192+I193+I194</f>
        <v>40</v>
      </c>
      <c r="J190" s="71">
        <v>160</v>
      </c>
      <c r="K190" s="55"/>
      <c r="L190" s="55"/>
      <c r="M190" s="55"/>
      <c r="IK190" s="66"/>
      <c r="IL190" s="66"/>
      <c r="IM190" s="66"/>
      <c r="IN190" s="66"/>
      <c r="IO190" s="66"/>
    </row>
    <row r="191" spans="1:249" s="65" customFormat="1" ht="16.5" customHeight="1" hidden="1">
      <c r="A191" s="30" t="s">
        <v>16</v>
      </c>
      <c r="B191" s="39"/>
      <c r="C191" s="54">
        <f>SUM(D191:G191)</f>
        <v>20</v>
      </c>
      <c r="D191" s="54">
        <v>5</v>
      </c>
      <c r="E191" s="54">
        <v>5</v>
      </c>
      <c r="F191" s="54">
        <v>5</v>
      </c>
      <c r="G191" s="54">
        <v>5</v>
      </c>
      <c r="H191" s="118">
        <f t="shared" si="7"/>
        <v>0</v>
      </c>
      <c r="I191" s="54">
        <v>5</v>
      </c>
      <c r="J191" s="54">
        <v>20</v>
      </c>
      <c r="K191" s="55"/>
      <c r="L191" s="55"/>
      <c r="M191" s="55"/>
      <c r="IK191" s="66"/>
      <c r="IL191" s="66"/>
      <c r="IM191" s="66"/>
      <c r="IN191" s="66"/>
      <c r="IO191" s="66"/>
    </row>
    <row r="192" spans="1:249" s="65" customFormat="1" ht="16.5" customHeight="1" hidden="1">
      <c r="A192" s="30" t="s">
        <v>17</v>
      </c>
      <c r="B192" s="39"/>
      <c r="C192" s="54">
        <f>SUM(D192:G192)</f>
        <v>136</v>
      </c>
      <c r="D192" s="54">
        <v>34</v>
      </c>
      <c r="E192" s="54">
        <v>34</v>
      </c>
      <c r="F192" s="54">
        <v>34</v>
      </c>
      <c r="G192" s="54">
        <v>34</v>
      </c>
      <c r="H192" s="118">
        <f t="shared" si="7"/>
        <v>0</v>
      </c>
      <c r="I192" s="54">
        <v>34</v>
      </c>
      <c r="J192" s="54">
        <v>136</v>
      </c>
      <c r="K192" s="55"/>
      <c r="L192" s="55"/>
      <c r="M192" s="55"/>
      <c r="IK192" s="66"/>
      <c r="IL192" s="66"/>
      <c r="IM192" s="66"/>
      <c r="IN192" s="66"/>
      <c r="IO192" s="66"/>
    </row>
    <row r="193" spans="1:249" s="65" customFormat="1" ht="16.5" customHeight="1" hidden="1">
      <c r="A193" s="30" t="s">
        <v>18</v>
      </c>
      <c r="B193" s="39"/>
      <c r="C193" s="54">
        <f>SUM(D193:G193)</f>
        <v>0</v>
      </c>
      <c r="D193" s="54">
        <v>0</v>
      </c>
      <c r="E193" s="54">
        <v>0</v>
      </c>
      <c r="F193" s="54">
        <v>0</v>
      </c>
      <c r="G193" s="54">
        <v>0</v>
      </c>
      <c r="H193" s="118">
        <f t="shared" si="7"/>
        <v>0</v>
      </c>
      <c r="I193" s="54">
        <v>0</v>
      </c>
      <c r="J193" s="54">
        <v>0</v>
      </c>
      <c r="K193" s="55"/>
      <c r="L193" s="55"/>
      <c r="M193" s="55"/>
      <c r="IK193" s="66"/>
      <c r="IL193" s="66"/>
      <c r="IM193" s="66"/>
      <c r="IN193" s="66"/>
      <c r="IO193" s="66"/>
    </row>
    <row r="194" spans="1:249" s="65" customFormat="1" ht="30.75" customHeight="1" hidden="1">
      <c r="A194" s="34" t="s">
        <v>19</v>
      </c>
      <c r="B194" s="63"/>
      <c r="C194" s="80">
        <f>SUM(D194:G194)</f>
        <v>4</v>
      </c>
      <c r="D194" s="62">
        <v>1</v>
      </c>
      <c r="E194" s="62">
        <v>1</v>
      </c>
      <c r="F194" s="62">
        <v>1</v>
      </c>
      <c r="G194" s="62">
        <v>1</v>
      </c>
      <c r="H194" s="118">
        <f t="shared" si="7"/>
        <v>0</v>
      </c>
      <c r="I194" s="62">
        <v>1</v>
      </c>
      <c r="J194" s="80">
        <v>4</v>
      </c>
      <c r="K194" s="55"/>
      <c r="L194" s="55"/>
      <c r="M194" s="55"/>
      <c r="IK194" s="66"/>
      <c r="IL194" s="66"/>
      <c r="IM194" s="66"/>
      <c r="IN194" s="66"/>
      <c r="IO194" s="66"/>
    </row>
    <row r="195" spans="1:249" s="60" customFormat="1" ht="20.25" customHeight="1">
      <c r="A195" s="131" t="s">
        <v>48</v>
      </c>
      <c r="B195" s="131"/>
      <c r="C195" s="32">
        <f>C175+C185+C164</f>
        <v>875</v>
      </c>
      <c r="D195" s="32">
        <f>D175+D185+D164</f>
        <v>600</v>
      </c>
      <c r="E195" s="32">
        <f>E175+E185+E164</f>
        <v>195</v>
      </c>
      <c r="F195" s="32">
        <f>F175+F185+F164</f>
        <v>40</v>
      </c>
      <c r="G195" s="32">
        <f>G175+G185+G164</f>
        <v>40</v>
      </c>
      <c r="H195" s="118">
        <f t="shared" si="7"/>
        <v>0</v>
      </c>
      <c r="I195" s="32">
        <f>I175+I185+I164</f>
        <v>40</v>
      </c>
      <c r="J195" s="32">
        <v>875</v>
      </c>
      <c r="K195" s="58"/>
      <c r="L195" s="59"/>
      <c r="M195" s="59"/>
      <c r="IK195" s="61"/>
      <c r="IL195" s="61"/>
      <c r="IM195" s="61"/>
      <c r="IN195" s="61"/>
      <c r="IO195" s="61"/>
    </row>
    <row r="196" spans="1:249" s="52" customFormat="1" ht="22.5" customHeight="1">
      <c r="A196" s="134" t="s">
        <v>49</v>
      </c>
      <c r="B196" s="134"/>
      <c r="C196" s="134"/>
      <c r="D196" s="27"/>
      <c r="E196" s="27"/>
      <c r="F196" s="27"/>
      <c r="G196" s="84"/>
      <c r="H196" s="118"/>
      <c r="I196" s="84"/>
      <c r="J196" s="84"/>
      <c r="K196" s="55"/>
      <c r="L196" s="56"/>
      <c r="M196" s="56"/>
      <c r="IK196" s="53"/>
      <c r="IL196" s="53"/>
      <c r="IM196" s="53"/>
      <c r="IN196" s="53"/>
      <c r="IO196" s="53"/>
    </row>
    <row r="197" spans="1:249" s="52" customFormat="1" ht="30" customHeight="1">
      <c r="A197" s="50" t="s">
        <v>50</v>
      </c>
      <c r="B197" s="21" t="s">
        <v>51</v>
      </c>
      <c r="C197" s="23">
        <f>D197+E197+F197+G197</f>
        <v>6264</v>
      </c>
      <c r="D197" s="23">
        <f>D198+D199+D200</f>
        <v>45</v>
      </c>
      <c r="E197" s="23">
        <f>E198+E199+E200</f>
        <v>1845</v>
      </c>
      <c r="F197" s="23">
        <f>F198+F199+F200</f>
        <v>2062</v>
      </c>
      <c r="G197" s="23">
        <f>G198+G199+G200</f>
        <v>2312</v>
      </c>
      <c r="H197" s="118">
        <v>0</v>
      </c>
      <c r="I197" s="23">
        <f>I198+I199+I200</f>
        <v>2312</v>
      </c>
      <c r="J197" s="23">
        <v>6264</v>
      </c>
      <c r="K197" s="55"/>
      <c r="L197" s="56"/>
      <c r="M197" s="56"/>
      <c r="IK197" s="53"/>
      <c r="IL197" s="53"/>
      <c r="IM197" s="53"/>
      <c r="IN197" s="53"/>
      <c r="IO197" s="53"/>
    </row>
    <row r="198" spans="1:249" s="52" customFormat="1" ht="16.5" customHeight="1">
      <c r="A198" s="26" t="s">
        <v>13</v>
      </c>
      <c r="B198" s="125"/>
      <c r="C198" s="54">
        <f>D198+E198+F198+G198</f>
        <v>880</v>
      </c>
      <c r="D198" s="54">
        <v>7</v>
      </c>
      <c r="E198" s="54">
        <v>277</v>
      </c>
      <c r="F198" s="54">
        <v>279</v>
      </c>
      <c r="G198" s="54">
        <v>317</v>
      </c>
      <c r="H198" s="118">
        <f>H197</f>
        <v>0</v>
      </c>
      <c r="I198" s="54">
        <v>317</v>
      </c>
      <c r="J198" s="54">
        <v>880</v>
      </c>
      <c r="K198" s="55"/>
      <c r="L198" s="56"/>
      <c r="M198" s="56"/>
      <c r="IK198" s="53"/>
      <c r="IL198" s="53"/>
      <c r="IM198" s="53"/>
      <c r="IN198" s="53"/>
      <c r="IO198" s="53"/>
    </row>
    <row r="199" spans="1:249" s="52" customFormat="1" ht="16.5" customHeight="1">
      <c r="A199" s="30" t="s">
        <v>14</v>
      </c>
      <c r="B199" s="125"/>
      <c r="C199" s="54">
        <f>D199+E199+F199+G199</f>
        <v>4984</v>
      </c>
      <c r="D199" s="54">
        <v>38</v>
      </c>
      <c r="E199" s="54">
        <v>1568</v>
      </c>
      <c r="F199" s="54">
        <v>1583</v>
      </c>
      <c r="G199" s="54">
        <v>1795</v>
      </c>
      <c r="H199" s="118">
        <f aca="true" t="shared" si="9" ref="H199:H249">H198</f>
        <v>0</v>
      </c>
      <c r="I199" s="54">
        <v>1795</v>
      </c>
      <c r="J199" s="54">
        <v>4984</v>
      </c>
      <c r="K199" s="55"/>
      <c r="L199" s="56"/>
      <c r="M199" s="56"/>
      <c r="IK199" s="53"/>
      <c r="IL199" s="53"/>
      <c r="IM199" s="53"/>
      <c r="IN199" s="53"/>
      <c r="IO199" s="53"/>
    </row>
    <row r="200" spans="1:249" s="52" customFormat="1" ht="16.5" customHeight="1">
      <c r="A200" s="30" t="s">
        <v>15</v>
      </c>
      <c r="B200" s="125"/>
      <c r="C200" s="54">
        <f>D200+E200+F200+G200</f>
        <v>400</v>
      </c>
      <c r="D200" s="54">
        <v>0</v>
      </c>
      <c r="E200" s="54">
        <v>0</v>
      </c>
      <c r="F200" s="54">
        <v>200</v>
      </c>
      <c r="G200" s="54">
        <v>200</v>
      </c>
      <c r="H200" s="118">
        <f t="shared" si="9"/>
        <v>0</v>
      </c>
      <c r="I200" s="54">
        <v>200</v>
      </c>
      <c r="J200" s="54">
        <v>400</v>
      </c>
      <c r="K200" s="55"/>
      <c r="L200" s="56"/>
      <c r="M200" s="56"/>
      <c r="IK200" s="53"/>
      <c r="IL200" s="53"/>
      <c r="IM200" s="53"/>
      <c r="IN200" s="53"/>
      <c r="IO200" s="53"/>
    </row>
    <row r="201" spans="1:249" s="52" customFormat="1" ht="16.5" customHeight="1" hidden="1">
      <c r="A201" s="30"/>
      <c r="B201" s="125"/>
      <c r="C201" s="54"/>
      <c r="D201" s="54"/>
      <c r="E201" s="54"/>
      <c r="F201" s="54"/>
      <c r="G201" s="54"/>
      <c r="H201" s="118">
        <f t="shared" si="9"/>
        <v>0</v>
      </c>
      <c r="I201" s="54"/>
      <c r="J201" s="54"/>
      <c r="K201" s="55"/>
      <c r="L201" s="56"/>
      <c r="M201" s="56"/>
      <c r="IK201" s="53"/>
      <c r="IL201" s="53"/>
      <c r="IM201" s="53"/>
      <c r="IN201" s="53"/>
      <c r="IO201" s="53"/>
    </row>
    <row r="202" spans="1:249" s="60" customFormat="1" ht="16.5" customHeight="1" hidden="1">
      <c r="A202" s="31"/>
      <c r="B202" s="125"/>
      <c r="C202" s="71">
        <f>C203+C204+C205+C206</f>
        <v>6264</v>
      </c>
      <c r="D202" s="71">
        <f>D203+D204+D205+D206</f>
        <v>45</v>
      </c>
      <c r="E202" s="71">
        <f>E203+E204+E205+E206</f>
        <v>1845</v>
      </c>
      <c r="F202" s="71">
        <f>F203+F204+F205+F206</f>
        <v>2062</v>
      </c>
      <c r="G202" s="71">
        <f>G203+G204+G205+G206</f>
        <v>2312</v>
      </c>
      <c r="H202" s="118">
        <f t="shared" si="9"/>
        <v>0</v>
      </c>
      <c r="I202" s="71">
        <f>I203+I204+I205+I206</f>
        <v>2312</v>
      </c>
      <c r="J202" s="71">
        <v>6264</v>
      </c>
      <c r="K202" s="58"/>
      <c r="L202" s="59"/>
      <c r="M202" s="59"/>
      <c r="IK202" s="61"/>
      <c r="IL202" s="61"/>
      <c r="IM202" s="61"/>
      <c r="IN202" s="61"/>
      <c r="IO202" s="61"/>
    </row>
    <row r="203" spans="1:249" s="52" customFormat="1" ht="16.5" customHeight="1" hidden="1">
      <c r="A203" s="30" t="s">
        <v>16</v>
      </c>
      <c r="B203" s="39"/>
      <c r="C203" s="54">
        <f>SUM(D203:G203)</f>
        <v>551</v>
      </c>
      <c r="D203" s="54">
        <v>1</v>
      </c>
      <c r="E203" s="54">
        <v>4</v>
      </c>
      <c r="F203" s="54">
        <v>273</v>
      </c>
      <c r="G203" s="54">
        <v>273</v>
      </c>
      <c r="H203" s="118">
        <f t="shared" si="9"/>
        <v>0</v>
      </c>
      <c r="I203" s="54">
        <v>273</v>
      </c>
      <c r="J203" s="54">
        <v>551</v>
      </c>
      <c r="K203" s="55"/>
      <c r="L203" s="56"/>
      <c r="M203" s="56"/>
      <c r="IK203" s="53"/>
      <c r="IL203" s="53"/>
      <c r="IM203" s="53"/>
      <c r="IN203" s="53"/>
      <c r="IO203" s="53"/>
    </row>
    <row r="204" spans="1:249" s="52" customFormat="1" ht="16.5" customHeight="1" hidden="1">
      <c r="A204" s="30" t="s">
        <v>17</v>
      </c>
      <c r="B204" s="39"/>
      <c r="C204" s="54">
        <f>SUM(D204:G204)</f>
        <v>4984</v>
      </c>
      <c r="D204" s="54">
        <v>38</v>
      </c>
      <c r="E204" s="54">
        <v>1568</v>
      </c>
      <c r="F204" s="54">
        <v>1583</v>
      </c>
      <c r="G204" s="54">
        <v>1795</v>
      </c>
      <c r="H204" s="118">
        <f t="shared" si="9"/>
        <v>0</v>
      </c>
      <c r="I204" s="54">
        <v>1795</v>
      </c>
      <c r="J204" s="54">
        <v>4984</v>
      </c>
      <c r="K204" s="55"/>
      <c r="L204" s="56"/>
      <c r="M204" s="56"/>
      <c r="IK204" s="53"/>
      <c r="IL204" s="53"/>
      <c r="IM204" s="53"/>
      <c r="IN204" s="53"/>
      <c r="IO204" s="53"/>
    </row>
    <row r="205" spans="1:249" s="52" customFormat="1" ht="16.5" customHeight="1" hidden="1">
      <c r="A205" s="30" t="s">
        <v>18</v>
      </c>
      <c r="B205" s="39"/>
      <c r="C205" s="54">
        <f>SUM(D205:G205)</f>
        <v>0</v>
      </c>
      <c r="D205" s="54">
        <v>0</v>
      </c>
      <c r="E205" s="54">
        <v>0</v>
      </c>
      <c r="F205" s="54">
        <v>0</v>
      </c>
      <c r="G205" s="54">
        <v>0</v>
      </c>
      <c r="H205" s="118">
        <f t="shared" si="9"/>
        <v>0</v>
      </c>
      <c r="I205" s="54">
        <v>0</v>
      </c>
      <c r="J205" s="54">
        <v>0</v>
      </c>
      <c r="K205" s="55"/>
      <c r="L205" s="56"/>
      <c r="M205" s="56"/>
      <c r="IK205" s="53"/>
      <c r="IL205" s="53"/>
      <c r="IM205" s="53"/>
      <c r="IN205" s="53"/>
      <c r="IO205" s="53"/>
    </row>
    <row r="206" spans="1:249" s="65" customFormat="1" ht="14.25" hidden="1">
      <c r="A206" s="34" t="s">
        <v>19</v>
      </c>
      <c r="B206" s="63"/>
      <c r="C206" s="80">
        <f>SUM(D206:G206)</f>
        <v>729</v>
      </c>
      <c r="D206" s="81">
        <v>6</v>
      </c>
      <c r="E206" s="54">
        <v>273</v>
      </c>
      <c r="F206" s="54">
        <v>206</v>
      </c>
      <c r="G206" s="54">
        <v>244</v>
      </c>
      <c r="H206" s="118">
        <f t="shared" si="9"/>
        <v>0</v>
      </c>
      <c r="I206" s="54">
        <v>244</v>
      </c>
      <c r="J206" s="80">
        <v>729</v>
      </c>
      <c r="K206" s="55"/>
      <c r="L206" s="55"/>
      <c r="M206" s="55"/>
      <c r="IK206" s="66"/>
      <c r="IL206" s="66"/>
      <c r="IM206" s="66"/>
      <c r="IN206" s="66"/>
      <c r="IO206" s="66"/>
    </row>
    <row r="207" spans="1:249" s="52" customFormat="1" ht="16.5" customHeight="1" hidden="1">
      <c r="A207" s="30"/>
      <c r="B207" s="39"/>
      <c r="C207" s="28"/>
      <c r="D207" s="28"/>
      <c r="E207" s="28"/>
      <c r="F207" s="27"/>
      <c r="G207" s="84"/>
      <c r="H207" s="118">
        <f t="shared" si="9"/>
        <v>0</v>
      </c>
      <c r="I207" s="84"/>
      <c r="J207" s="28"/>
      <c r="K207" s="55"/>
      <c r="L207" s="56"/>
      <c r="M207" s="56"/>
      <c r="IK207" s="53"/>
      <c r="IL207" s="53"/>
      <c r="IM207" s="53"/>
      <c r="IN207" s="53"/>
      <c r="IO207" s="53"/>
    </row>
    <row r="208" spans="1:249" s="52" customFormat="1" ht="29.25" customHeight="1">
      <c r="A208" s="50" t="s">
        <v>52</v>
      </c>
      <c r="B208" s="21" t="s">
        <v>53</v>
      </c>
      <c r="C208" s="23">
        <f>D208+E208+F208+G208</f>
        <v>4651</v>
      </c>
      <c r="D208" s="23">
        <f>D209+D210+D211</f>
        <v>0</v>
      </c>
      <c r="E208" s="23">
        <f>E209+E210+E211</f>
        <v>0</v>
      </c>
      <c r="F208" s="23">
        <f>F209+F210+F211</f>
        <v>2325</v>
      </c>
      <c r="G208" s="23">
        <f>G209+G210+G211</f>
        <v>2326</v>
      </c>
      <c r="H208" s="118">
        <f t="shared" si="9"/>
        <v>0</v>
      </c>
      <c r="I208" s="23">
        <f>I209+I210+I211</f>
        <v>2326</v>
      </c>
      <c r="J208" s="23">
        <v>4651</v>
      </c>
      <c r="K208" s="55"/>
      <c r="L208" s="56"/>
      <c r="M208" s="56"/>
      <c r="IK208" s="53"/>
      <c r="IL208" s="53"/>
      <c r="IM208" s="53"/>
      <c r="IN208" s="53"/>
      <c r="IO208" s="53"/>
    </row>
    <row r="209" spans="1:249" s="52" customFormat="1" ht="16.5" customHeight="1">
      <c r="A209" s="26" t="s">
        <v>13</v>
      </c>
      <c r="B209" s="125"/>
      <c r="C209" s="54">
        <f>D209+E209+F209+G209</f>
        <v>829</v>
      </c>
      <c r="D209" s="54">
        <v>0</v>
      </c>
      <c r="E209" s="54">
        <v>0</v>
      </c>
      <c r="F209" s="54">
        <v>414</v>
      </c>
      <c r="G209" s="54">
        <v>415</v>
      </c>
      <c r="H209" s="118">
        <f t="shared" si="9"/>
        <v>0</v>
      </c>
      <c r="I209" s="54">
        <v>415</v>
      </c>
      <c r="J209" s="54">
        <v>829</v>
      </c>
      <c r="K209" s="55"/>
      <c r="L209" s="56"/>
      <c r="M209" s="56"/>
      <c r="IK209" s="53"/>
      <c r="IL209" s="53"/>
      <c r="IM209" s="53"/>
      <c r="IN209" s="53"/>
      <c r="IO209" s="53"/>
    </row>
    <row r="210" spans="1:249" s="52" customFormat="1" ht="16.5" customHeight="1">
      <c r="A210" s="26" t="s">
        <v>14</v>
      </c>
      <c r="B210" s="125"/>
      <c r="C210" s="54">
        <f>D210+E210+F210+G210</f>
        <v>2372</v>
      </c>
      <c r="D210" s="54">
        <v>0</v>
      </c>
      <c r="E210" s="54">
        <v>0</v>
      </c>
      <c r="F210" s="54">
        <v>1186</v>
      </c>
      <c r="G210" s="54">
        <v>1186</v>
      </c>
      <c r="H210" s="118">
        <f t="shared" si="9"/>
        <v>0</v>
      </c>
      <c r="I210" s="54">
        <v>1186</v>
      </c>
      <c r="J210" s="54">
        <v>2372</v>
      </c>
      <c r="K210" s="55"/>
      <c r="L210" s="56"/>
      <c r="M210" s="56"/>
      <c r="IK210" s="53"/>
      <c r="IL210" s="53"/>
      <c r="IM210" s="53"/>
      <c r="IN210" s="53"/>
      <c r="IO210" s="53"/>
    </row>
    <row r="211" spans="1:249" s="52" customFormat="1" ht="21.75" customHeight="1">
      <c r="A211" s="26" t="s">
        <v>15</v>
      </c>
      <c r="B211" s="125"/>
      <c r="C211" s="54">
        <f>D211+E211+F211+G211</f>
        <v>1450</v>
      </c>
      <c r="D211" s="54">
        <v>0</v>
      </c>
      <c r="E211" s="54">
        <v>0</v>
      </c>
      <c r="F211" s="54">
        <v>725</v>
      </c>
      <c r="G211" s="54">
        <v>725</v>
      </c>
      <c r="H211" s="118">
        <f t="shared" si="9"/>
        <v>0</v>
      </c>
      <c r="I211" s="54">
        <v>725</v>
      </c>
      <c r="J211" s="54">
        <v>1450</v>
      </c>
      <c r="K211" s="55"/>
      <c r="L211" s="56"/>
      <c r="M211" s="56"/>
      <c r="IK211" s="53"/>
      <c r="IL211" s="53"/>
      <c r="IM211" s="53"/>
      <c r="IN211" s="53"/>
      <c r="IO211" s="53"/>
    </row>
    <row r="212" spans="1:249" s="52" customFormat="1" ht="16.5" customHeight="1" hidden="1">
      <c r="A212" s="30"/>
      <c r="B212" s="39"/>
      <c r="C212" s="54"/>
      <c r="D212" s="54"/>
      <c r="E212" s="54"/>
      <c r="F212" s="54"/>
      <c r="G212" s="54"/>
      <c r="H212" s="118">
        <f t="shared" si="9"/>
        <v>0</v>
      </c>
      <c r="I212" s="54"/>
      <c r="J212" s="54"/>
      <c r="K212" s="55"/>
      <c r="L212" s="56"/>
      <c r="M212" s="56"/>
      <c r="IK212" s="53"/>
      <c r="IL212" s="53"/>
      <c r="IM212" s="53"/>
      <c r="IN212" s="53"/>
      <c r="IO212" s="53"/>
    </row>
    <row r="213" spans="1:249" s="60" customFormat="1" ht="16.5" customHeight="1" hidden="1">
      <c r="A213" s="31"/>
      <c r="B213" s="45"/>
      <c r="C213" s="71">
        <f>D213+E213+F213+G213</f>
        <v>4651</v>
      </c>
      <c r="D213" s="71">
        <f>D214+D215+D216+D217</f>
        <v>0</v>
      </c>
      <c r="E213" s="71">
        <f>E214+E215+E216+E217</f>
        <v>0</v>
      </c>
      <c r="F213" s="71">
        <f>F214+F215+F216+F217</f>
        <v>2325</v>
      </c>
      <c r="G213" s="71">
        <f>G214+G215+G216+G217</f>
        <v>2326</v>
      </c>
      <c r="H213" s="118">
        <f t="shared" si="9"/>
        <v>0</v>
      </c>
      <c r="I213" s="71">
        <f>I214+I215+I216+I217</f>
        <v>2326</v>
      </c>
      <c r="J213" s="71">
        <v>4651</v>
      </c>
      <c r="K213" s="58"/>
      <c r="L213" s="59"/>
      <c r="M213" s="59"/>
      <c r="IK213" s="61"/>
      <c r="IL213" s="61"/>
      <c r="IM213" s="61"/>
      <c r="IN213" s="61"/>
      <c r="IO213" s="61"/>
    </row>
    <row r="214" spans="1:249" s="52" customFormat="1" ht="16.5" customHeight="1" hidden="1">
      <c r="A214" s="30" t="s">
        <v>16</v>
      </c>
      <c r="B214" s="39"/>
      <c r="C214" s="54">
        <f>D214+E214+F214+G214</f>
        <v>289</v>
      </c>
      <c r="D214" s="54">
        <v>0</v>
      </c>
      <c r="E214" s="54">
        <v>0</v>
      </c>
      <c r="F214" s="54">
        <v>145</v>
      </c>
      <c r="G214" s="54">
        <v>144</v>
      </c>
      <c r="H214" s="118">
        <f t="shared" si="9"/>
        <v>0</v>
      </c>
      <c r="I214" s="54">
        <v>144</v>
      </c>
      <c r="J214" s="54">
        <v>289</v>
      </c>
      <c r="K214" s="55"/>
      <c r="L214" s="56"/>
      <c r="M214" s="56"/>
      <c r="IK214" s="53"/>
      <c r="IL214" s="53"/>
      <c r="IM214" s="53"/>
      <c r="IN214" s="53"/>
      <c r="IO214" s="53"/>
    </row>
    <row r="215" spans="1:249" s="52" customFormat="1" ht="16.5" customHeight="1" hidden="1">
      <c r="A215" s="30" t="s">
        <v>17</v>
      </c>
      <c r="B215" s="39"/>
      <c r="C215" s="54">
        <f>D215+E215+F215+G215</f>
        <v>1552</v>
      </c>
      <c r="D215" s="54">
        <v>0</v>
      </c>
      <c r="E215" s="54">
        <v>0</v>
      </c>
      <c r="F215" s="54">
        <v>776</v>
      </c>
      <c r="G215" s="54">
        <v>776</v>
      </c>
      <c r="H215" s="118">
        <f t="shared" si="9"/>
        <v>0</v>
      </c>
      <c r="I215" s="54">
        <v>776</v>
      </c>
      <c r="J215" s="54">
        <v>1552</v>
      </c>
      <c r="K215" s="55"/>
      <c r="L215" s="56"/>
      <c r="M215" s="56"/>
      <c r="IK215" s="53"/>
      <c r="IL215" s="53"/>
      <c r="IM215" s="53"/>
      <c r="IN215" s="53"/>
      <c r="IO215" s="53"/>
    </row>
    <row r="216" spans="1:249" s="52" customFormat="1" ht="16.5" customHeight="1" hidden="1">
      <c r="A216" s="30" t="s">
        <v>18</v>
      </c>
      <c r="B216" s="39"/>
      <c r="C216" s="54">
        <f>D216+E216+F216+G216</f>
        <v>0</v>
      </c>
      <c r="D216" s="54">
        <v>0</v>
      </c>
      <c r="E216" s="54">
        <v>0</v>
      </c>
      <c r="F216" s="54">
        <v>0</v>
      </c>
      <c r="G216" s="54">
        <v>0</v>
      </c>
      <c r="H216" s="118">
        <f t="shared" si="9"/>
        <v>0</v>
      </c>
      <c r="I216" s="54">
        <v>0</v>
      </c>
      <c r="J216" s="54">
        <v>0</v>
      </c>
      <c r="K216" s="55"/>
      <c r="L216" s="56"/>
      <c r="M216" s="56"/>
      <c r="IK216" s="53"/>
      <c r="IL216" s="53"/>
      <c r="IM216" s="53"/>
      <c r="IN216" s="53"/>
      <c r="IO216" s="53"/>
    </row>
    <row r="217" spans="1:249" s="65" customFormat="1" ht="14.25" hidden="1">
      <c r="A217" s="34" t="s">
        <v>19</v>
      </c>
      <c r="B217" s="63"/>
      <c r="C217" s="80">
        <f>D217+E217+F217+G217</f>
        <v>2810</v>
      </c>
      <c r="D217" s="54">
        <v>0</v>
      </c>
      <c r="E217" s="54">
        <v>0</v>
      </c>
      <c r="F217" s="54">
        <f>725+680-1</f>
        <v>1404</v>
      </c>
      <c r="G217" s="54">
        <f>725+681</f>
        <v>1406</v>
      </c>
      <c r="H217" s="118">
        <f t="shared" si="9"/>
        <v>0</v>
      </c>
      <c r="I217" s="54">
        <f>725+681</f>
        <v>1406</v>
      </c>
      <c r="J217" s="80">
        <v>2810</v>
      </c>
      <c r="K217" s="55"/>
      <c r="L217" s="55"/>
      <c r="M217" s="55"/>
      <c r="IK217" s="66"/>
      <c r="IL217" s="66"/>
      <c r="IM217" s="66"/>
      <c r="IN217" s="66"/>
      <c r="IO217" s="66"/>
    </row>
    <row r="218" spans="1:249" s="52" customFormat="1" ht="16.5" customHeight="1" hidden="1">
      <c r="A218" s="30"/>
      <c r="B218" s="39"/>
      <c r="C218" s="28"/>
      <c r="D218" s="28"/>
      <c r="E218" s="28"/>
      <c r="F218" s="27"/>
      <c r="G218" s="84"/>
      <c r="H218" s="118">
        <f t="shared" si="9"/>
        <v>0</v>
      </c>
      <c r="I218" s="84"/>
      <c r="J218" s="28"/>
      <c r="K218" s="55"/>
      <c r="L218" s="56"/>
      <c r="M218" s="56"/>
      <c r="IK218" s="53"/>
      <c r="IL218" s="53"/>
      <c r="IM218" s="53"/>
      <c r="IN218" s="53"/>
      <c r="IO218" s="53"/>
    </row>
    <row r="219" spans="1:249" s="52" customFormat="1" ht="31.5" customHeight="1">
      <c r="A219" s="50" t="s">
        <v>52</v>
      </c>
      <c r="B219" s="21" t="s">
        <v>54</v>
      </c>
      <c r="C219" s="23">
        <f>D219+E219+F219+G219</f>
        <v>5220</v>
      </c>
      <c r="D219" s="23">
        <f>D220+D221+D222</f>
        <v>0</v>
      </c>
      <c r="E219" s="23">
        <f>E220+E221+E222</f>
        <v>0</v>
      </c>
      <c r="F219" s="23">
        <f>F220+F221+F222</f>
        <v>2610</v>
      </c>
      <c r="G219" s="23">
        <f>G220+G221+G222</f>
        <v>2610</v>
      </c>
      <c r="H219" s="118">
        <f t="shared" si="9"/>
        <v>0</v>
      </c>
      <c r="I219" s="23">
        <f>I220+I221+I222</f>
        <v>2610</v>
      </c>
      <c r="J219" s="23">
        <v>5220</v>
      </c>
      <c r="K219" s="55"/>
      <c r="L219" s="56"/>
      <c r="M219" s="56"/>
      <c r="IK219" s="53"/>
      <c r="IL219" s="53"/>
      <c r="IM219" s="53"/>
      <c r="IN219" s="53"/>
      <c r="IO219" s="53"/>
    </row>
    <row r="220" spans="1:249" s="52" customFormat="1" ht="16.5" customHeight="1">
      <c r="A220" s="26" t="s">
        <v>13</v>
      </c>
      <c r="B220" s="125"/>
      <c r="C220" s="54">
        <f>D220+E220+F220+G220</f>
        <v>1556</v>
      </c>
      <c r="D220" s="54">
        <v>0</v>
      </c>
      <c r="E220" s="54">
        <v>0</v>
      </c>
      <c r="F220" s="54">
        <v>778</v>
      </c>
      <c r="G220" s="54">
        <v>778</v>
      </c>
      <c r="H220" s="118">
        <f t="shared" si="9"/>
        <v>0</v>
      </c>
      <c r="I220" s="54">
        <v>778</v>
      </c>
      <c r="J220" s="54">
        <v>1556</v>
      </c>
      <c r="K220" s="55"/>
      <c r="L220" s="56"/>
      <c r="M220" s="56"/>
      <c r="IK220" s="53"/>
      <c r="IL220" s="53"/>
      <c r="IM220" s="53"/>
      <c r="IN220" s="53"/>
      <c r="IO220" s="53"/>
    </row>
    <row r="221" spans="1:249" s="52" customFormat="1" ht="16.5" customHeight="1">
      <c r="A221" s="26" t="s">
        <v>14</v>
      </c>
      <c r="B221" s="125"/>
      <c r="C221" s="54">
        <f>D221+E221+F221+G221</f>
        <v>1818</v>
      </c>
      <c r="D221" s="54">
        <v>0</v>
      </c>
      <c r="E221" s="54">
        <v>0</v>
      </c>
      <c r="F221" s="54">
        <v>909</v>
      </c>
      <c r="G221" s="54">
        <v>909</v>
      </c>
      <c r="H221" s="118">
        <f t="shared" si="9"/>
        <v>0</v>
      </c>
      <c r="I221" s="54">
        <v>909</v>
      </c>
      <c r="J221" s="54">
        <v>1818</v>
      </c>
      <c r="K221" s="55"/>
      <c r="L221" s="56"/>
      <c r="M221" s="56"/>
      <c r="IK221" s="53"/>
      <c r="IL221" s="53"/>
      <c r="IM221" s="53"/>
      <c r="IN221" s="53"/>
      <c r="IO221" s="53"/>
    </row>
    <row r="222" spans="1:249" s="52" customFormat="1" ht="21" customHeight="1">
      <c r="A222" s="26" t="s">
        <v>15</v>
      </c>
      <c r="B222" s="125"/>
      <c r="C222" s="54">
        <f>D222+E222+F222+G222</f>
        <v>1846</v>
      </c>
      <c r="D222" s="54">
        <v>0</v>
      </c>
      <c r="E222" s="54">
        <v>0</v>
      </c>
      <c r="F222" s="54">
        <v>923</v>
      </c>
      <c r="G222" s="54">
        <v>923</v>
      </c>
      <c r="H222" s="118">
        <f t="shared" si="9"/>
        <v>0</v>
      </c>
      <c r="I222" s="54">
        <v>923</v>
      </c>
      <c r="J222" s="54">
        <v>1846</v>
      </c>
      <c r="K222" s="55"/>
      <c r="L222" s="56"/>
      <c r="M222" s="56"/>
      <c r="IK222" s="53"/>
      <c r="IL222" s="53"/>
      <c r="IM222" s="53"/>
      <c r="IN222" s="53"/>
      <c r="IO222" s="53"/>
    </row>
    <row r="223" spans="1:249" s="52" customFormat="1" ht="16.5" customHeight="1" hidden="1">
      <c r="A223" s="30"/>
      <c r="B223" s="39"/>
      <c r="C223" s="54"/>
      <c r="D223" s="54"/>
      <c r="E223" s="54"/>
      <c r="F223" s="54"/>
      <c r="G223" s="54"/>
      <c r="H223" s="118">
        <f t="shared" si="9"/>
        <v>0</v>
      </c>
      <c r="I223" s="54"/>
      <c r="J223" s="54"/>
      <c r="K223" s="55"/>
      <c r="L223" s="56"/>
      <c r="M223" s="56"/>
      <c r="IK223" s="53"/>
      <c r="IL223" s="53"/>
      <c r="IM223" s="53"/>
      <c r="IN223" s="53"/>
      <c r="IO223" s="53"/>
    </row>
    <row r="224" spans="1:249" s="60" customFormat="1" ht="16.5" customHeight="1" hidden="1">
      <c r="A224" s="31"/>
      <c r="B224" s="45"/>
      <c r="C224" s="71">
        <f aca="true" t="shared" si="10" ref="C224:C232">D224+E224+F224+G224</f>
        <v>5220</v>
      </c>
      <c r="D224" s="71">
        <f>D225+D226+D227+D228</f>
        <v>0</v>
      </c>
      <c r="E224" s="71">
        <f>E225+E226+E227+E228</f>
        <v>0</v>
      </c>
      <c r="F224" s="71">
        <f>F225+F226+F227+F228</f>
        <v>2610</v>
      </c>
      <c r="G224" s="71">
        <f>G225+G226+G227+G228</f>
        <v>2610</v>
      </c>
      <c r="H224" s="118">
        <f t="shared" si="9"/>
        <v>0</v>
      </c>
      <c r="I224" s="71">
        <f>I225+I226+I227+I228</f>
        <v>2610</v>
      </c>
      <c r="J224" s="71">
        <v>5220</v>
      </c>
      <c r="K224" s="58"/>
      <c r="L224" s="59"/>
      <c r="M224" s="59"/>
      <c r="IK224" s="61"/>
      <c r="IL224" s="61"/>
      <c r="IM224" s="61"/>
      <c r="IN224" s="61"/>
      <c r="IO224" s="61"/>
    </row>
    <row r="225" spans="1:249" s="52" customFormat="1" ht="16.5" customHeight="1" hidden="1">
      <c r="A225" s="30" t="s">
        <v>16</v>
      </c>
      <c r="B225" s="39"/>
      <c r="C225" s="54">
        <f t="shared" si="10"/>
        <v>131</v>
      </c>
      <c r="D225" s="54">
        <v>0</v>
      </c>
      <c r="E225" s="54">
        <v>0</v>
      </c>
      <c r="F225" s="54">
        <v>66</v>
      </c>
      <c r="G225" s="54">
        <v>65</v>
      </c>
      <c r="H225" s="118">
        <f t="shared" si="9"/>
        <v>0</v>
      </c>
      <c r="I225" s="54">
        <v>65</v>
      </c>
      <c r="J225" s="54">
        <v>131</v>
      </c>
      <c r="K225" s="55"/>
      <c r="L225" s="56"/>
      <c r="M225" s="56"/>
      <c r="IK225" s="53"/>
      <c r="IL225" s="53"/>
      <c r="IM225" s="53"/>
      <c r="IN225" s="53"/>
      <c r="IO225" s="53"/>
    </row>
    <row r="226" spans="1:249" s="52" customFormat="1" ht="16.5" customHeight="1" hidden="1">
      <c r="A226" s="30" t="s">
        <v>17</v>
      </c>
      <c r="B226" s="39"/>
      <c r="C226" s="54">
        <f t="shared" si="10"/>
        <v>1818</v>
      </c>
      <c r="D226" s="54">
        <v>0</v>
      </c>
      <c r="E226" s="54">
        <v>0</v>
      </c>
      <c r="F226" s="54">
        <v>909</v>
      </c>
      <c r="G226" s="54">
        <v>909</v>
      </c>
      <c r="H226" s="118">
        <f t="shared" si="9"/>
        <v>0</v>
      </c>
      <c r="I226" s="54">
        <v>909</v>
      </c>
      <c r="J226" s="54">
        <v>1818</v>
      </c>
      <c r="K226" s="55"/>
      <c r="L226" s="56"/>
      <c r="M226" s="56"/>
      <c r="IK226" s="53"/>
      <c r="IL226" s="53"/>
      <c r="IM226" s="53"/>
      <c r="IN226" s="53"/>
      <c r="IO226" s="53"/>
    </row>
    <row r="227" spans="1:249" s="52" customFormat="1" ht="16.5" customHeight="1" hidden="1">
      <c r="A227" s="30" t="s">
        <v>18</v>
      </c>
      <c r="B227" s="39"/>
      <c r="C227" s="54">
        <f t="shared" si="10"/>
        <v>0</v>
      </c>
      <c r="D227" s="54">
        <v>0</v>
      </c>
      <c r="E227" s="54">
        <v>0</v>
      </c>
      <c r="F227" s="54">
        <v>0</v>
      </c>
      <c r="G227" s="54">
        <v>0</v>
      </c>
      <c r="H227" s="118">
        <f t="shared" si="9"/>
        <v>0</v>
      </c>
      <c r="I227" s="54">
        <v>0</v>
      </c>
      <c r="J227" s="54">
        <v>0</v>
      </c>
      <c r="K227" s="55"/>
      <c r="L227" s="56"/>
      <c r="M227" s="56"/>
      <c r="IK227" s="53"/>
      <c r="IL227" s="53"/>
      <c r="IM227" s="53"/>
      <c r="IN227" s="53"/>
      <c r="IO227" s="53"/>
    </row>
    <row r="228" spans="1:249" s="65" customFormat="1" ht="14.25" hidden="1">
      <c r="A228" s="34" t="s">
        <v>19</v>
      </c>
      <c r="B228" s="63"/>
      <c r="C228" s="80">
        <f t="shared" si="10"/>
        <v>3271</v>
      </c>
      <c r="D228" s="54">
        <v>0</v>
      </c>
      <c r="E228" s="54">
        <v>0</v>
      </c>
      <c r="F228" s="54">
        <f>923+713-1</f>
        <v>1635</v>
      </c>
      <c r="G228" s="54">
        <f>923+713</f>
        <v>1636</v>
      </c>
      <c r="H228" s="118">
        <f t="shared" si="9"/>
        <v>0</v>
      </c>
      <c r="I228" s="54">
        <f>923+713</f>
        <v>1636</v>
      </c>
      <c r="J228" s="80">
        <v>3271</v>
      </c>
      <c r="K228" s="55"/>
      <c r="L228" s="55"/>
      <c r="M228" s="55"/>
      <c r="IK228" s="66"/>
      <c r="IL228" s="66"/>
      <c r="IM228" s="66"/>
      <c r="IN228" s="66"/>
      <c r="IO228" s="66"/>
    </row>
    <row r="229" spans="1:249" s="65" customFormat="1" ht="30" customHeight="1">
      <c r="A229" s="50" t="s">
        <v>52</v>
      </c>
      <c r="B229" s="21" t="s">
        <v>55</v>
      </c>
      <c r="C229" s="23">
        <f t="shared" si="10"/>
        <v>5513</v>
      </c>
      <c r="D229" s="23">
        <v>0</v>
      </c>
      <c r="E229" s="23">
        <f>E230+E231+E232</f>
        <v>1641</v>
      </c>
      <c r="F229" s="23">
        <f>F230+F231+F232</f>
        <v>1936</v>
      </c>
      <c r="G229" s="23">
        <f>G230+G231+G232</f>
        <v>1936</v>
      </c>
      <c r="H229" s="118">
        <f t="shared" si="9"/>
        <v>0</v>
      </c>
      <c r="I229" s="23">
        <f>I230+I231+I232</f>
        <v>1936</v>
      </c>
      <c r="J229" s="23">
        <v>5513</v>
      </c>
      <c r="K229" s="55"/>
      <c r="L229" s="55"/>
      <c r="M229" s="55"/>
      <c r="IK229" s="66"/>
      <c r="IL229" s="66"/>
      <c r="IM229" s="66"/>
      <c r="IN229" s="66"/>
      <c r="IO229" s="66"/>
    </row>
    <row r="230" spans="1:249" s="65" customFormat="1" ht="16.5" customHeight="1">
      <c r="A230" s="26" t="s">
        <v>13</v>
      </c>
      <c r="B230" s="124"/>
      <c r="C230" s="54">
        <f t="shared" si="10"/>
        <v>1858</v>
      </c>
      <c r="D230" s="54">
        <v>0</v>
      </c>
      <c r="E230" s="54">
        <v>804</v>
      </c>
      <c r="F230" s="54">
        <v>527</v>
      </c>
      <c r="G230" s="54">
        <v>527</v>
      </c>
      <c r="H230" s="118">
        <f t="shared" si="9"/>
        <v>0</v>
      </c>
      <c r="I230" s="54">
        <v>527</v>
      </c>
      <c r="J230" s="54">
        <v>1858</v>
      </c>
      <c r="K230" s="55"/>
      <c r="L230" s="55"/>
      <c r="M230" s="55"/>
      <c r="IK230" s="66"/>
      <c r="IL230" s="66"/>
      <c r="IM230" s="66"/>
      <c r="IN230" s="66"/>
      <c r="IO230" s="66"/>
    </row>
    <row r="231" spans="1:249" s="65" customFormat="1" ht="16.5" customHeight="1">
      <c r="A231" s="26" t="s">
        <v>14</v>
      </c>
      <c r="B231" s="124"/>
      <c r="C231" s="54">
        <f t="shared" si="10"/>
        <v>1933</v>
      </c>
      <c r="D231" s="54">
        <v>0</v>
      </c>
      <c r="E231" s="54">
        <v>837</v>
      </c>
      <c r="F231" s="54">
        <v>548</v>
      </c>
      <c r="G231" s="54">
        <v>548</v>
      </c>
      <c r="H231" s="118">
        <f t="shared" si="9"/>
        <v>0</v>
      </c>
      <c r="I231" s="54">
        <v>548</v>
      </c>
      <c r="J231" s="54">
        <v>1933</v>
      </c>
      <c r="K231" s="55"/>
      <c r="L231" s="55"/>
      <c r="M231" s="55"/>
      <c r="IK231" s="66"/>
      <c r="IL231" s="66"/>
      <c r="IM231" s="66"/>
      <c r="IN231" s="66"/>
      <c r="IO231" s="66"/>
    </row>
    <row r="232" spans="1:249" s="65" customFormat="1" ht="16.5" customHeight="1">
      <c r="A232" s="30" t="s">
        <v>15</v>
      </c>
      <c r="B232" s="124"/>
      <c r="C232" s="54">
        <f t="shared" si="10"/>
        <v>1722</v>
      </c>
      <c r="D232" s="54">
        <v>0</v>
      </c>
      <c r="E232" s="54">
        <v>0</v>
      </c>
      <c r="F232" s="54">
        <v>861</v>
      </c>
      <c r="G232" s="54">
        <v>861</v>
      </c>
      <c r="H232" s="118">
        <f t="shared" si="9"/>
        <v>0</v>
      </c>
      <c r="I232" s="54">
        <v>861</v>
      </c>
      <c r="J232" s="54">
        <v>1722</v>
      </c>
      <c r="K232" s="55"/>
      <c r="L232" s="55"/>
      <c r="M232" s="55"/>
      <c r="IK232" s="66"/>
      <c r="IL232" s="66"/>
      <c r="IM232" s="66"/>
      <c r="IN232" s="66"/>
      <c r="IO232" s="66"/>
    </row>
    <row r="233" spans="1:249" s="65" customFormat="1" ht="16.5" customHeight="1" hidden="1">
      <c r="A233" s="30"/>
      <c r="B233" s="39"/>
      <c r="C233" s="54"/>
      <c r="D233" s="54"/>
      <c r="E233" s="54"/>
      <c r="F233" s="54"/>
      <c r="G233" s="54"/>
      <c r="H233" s="118">
        <f t="shared" si="9"/>
        <v>0</v>
      </c>
      <c r="I233" s="54"/>
      <c r="J233" s="54"/>
      <c r="K233" s="55"/>
      <c r="L233" s="55"/>
      <c r="M233" s="55"/>
      <c r="IK233" s="66"/>
      <c r="IL233" s="66"/>
      <c r="IM233" s="66"/>
      <c r="IN233" s="66"/>
      <c r="IO233" s="66"/>
    </row>
    <row r="234" spans="1:249" s="65" customFormat="1" ht="16.5" customHeight="1" hidden="1">
      <c r="A234" s="31"/>
      <c r="B234" s="45"/>
      <c r="C234" s="71">
        <f>C235+C236+C237+C238</f>
        <v>5513</v>
      </c>
      <c r="D234" s="71">
        <v>0</v>
      </c>
      <c r="E234" s="71">
        <f>E235+E236+E237+E238</f>
        <v>1641</v>
      </c>
      <c r="F234" s="71">
        <f>F235+F236+F237+F238</f>
        <v>1936</v>
      </c>
      <c r="G234" s="71">
        <f>G235+G236+G237+G238</f>
        <v>1936</v>
      </c>
      <c r="H234" s="118">
        <f t="shared" si="9"/>
        <v>0</v>
      </c>
      <c r="I234" s="71">
        <f>I235+I236+I237+I238</f>
        <v>1936</v>
      </c>
      <c r="J234" s="71">
        <v>5513</v>
      </c>
      <c r="K234" s="55"/>
      <c r="L234" s="55"/>
      <c r="M234" s="55"/>
      <c r="IK234" s="66"/>
      <c r="IL234" s="66"/>
      <c r="IM234" s="66"/>
      <c r="IN234" s="66"/>
      <c r="IO234" s="66"/>
    </row>
    <row r="235" spans="1:249" s="65" customFormat="1" ht="16.5" customHeight="1" hidden="1">
      <c r="A235" s="30" t="s">
        <v>16</v>
      </c>
      <c r="B235" s="39"/>
      <c r="C235" s="54">
        <f>SUM(D235:G235)</f>
        <v>342</v>
      </c>
      <c r="D235" s="54">
        <v>0</v>
      </c>
      <c r="E235" s="54">
        <v>148</v>
      </c>
      <c r="F235" s="54">
        <v>97</v>
      </c>
      <c r="G235" s="54">
        <v>97</v>
      </c>
      <c r="H235" s="118">
        <f t="shared" si="9"/>
        <v>0</v>
      </c>
      <c r="I235" s="54">
        <v>97</v>
      </c>
      <c r="J235" s="54">
        <v>342</v>
      </c>
      <c r="K235" s="55"/>
      <c r="L235" s="55"/>
      <c r="M235" s="55"/>
      <c r="IK235" s="66"/>
      <c r="IL235" s="66"/>
      <c r="IM235" s="66"/>
      <c r="IN235" s="66"/>
      <c r="IO235" s="66"/>
    </row>
    <row r="236" spans="1:249" s="65" customFormat="1" ht="16.5" customHeight="1" hidden="1">
      <c r="A236" s="30" t="s">
        <v>17</v>
      </c>
      <c r="B236" s="39"/>
      <c r="C236" s="54">
        <f>SUM(D236:G236)</f>
        <v>1933</v>
      </c>
      <c r="D236" s="54">
        <v>0</v>
      </c>
      <c r="E236" s="54">
        <v>837</v>
      </c>
      <c r="F236" s="54">
        <v>548</v>
      </c>
      <c r="G236" s="54">
        <v>548</v>
      </c>
      <c r="H236" s="118">
        <f t="shared" si="9"/>
        <v>0</v>
      </c>
      <c r="I236" s="54">
        <v>548</v>
      </c>
      <c r="J236" s="54">
        <v>1933</v>
      </c>
      <c r="K236" s="55"/>
      <c r="L236" s="55"/>
      <c r="M236" s="55"/>
      <c r="IK236" s="66"/>
      <c r="IL236" s="66"/>
      <c r="IM236" s="66"/>
      <c r="IN236" s="66"/>
      <c r="IO236" s="66"/>
    </row>
    <row r="237" spans="1:249" s="65" customFormat="1" ht="16.5" customHeight="1" hidden="1">
      <c r="A237" s="30" t="s">
        <v>18</v>
      </c>
      <c r="B237" s="39"/>
      <c r="C237" s="54">
        <f>SUM(D237:G237)</f>
        <v>0</v>
      </c>
      <c r="D237" s="54">
        <v>0</v>
      </c>
      <c r="E237" s="54">
        <v>0</v>
      </c>
      <c r="F237" s="54">
        <v>0</v>
      </c>
      <c r="G237" s="54">
        <v>0</v>
      </c>
      <c r="H237" s="118">
        <f t="shared" si="9"/>
        <v>0</v>
      </c>
      <c r="I237" s="54">
        <v>0</v>
      </c>
      <c r="J237" s="54">
        <v>0</v>
      </c>
      <c r="K237" s="55"/>
      <c r="L237" s="55"/>
      <c r="M237" s="55"/>
      <c r="IK237" s="66"/>
      <c r="IL237" s="66"/>
      <c r="IM237" s="66"/>
      <c r="IN237" s="66"/>
      <c r="IO237" s="66"/>
    </row>
    <row r="238" spans="1:249" s="65" customFormat="1" ht="14.25" hidden="1">
      <c r="A238" s="34" t="s">
        <v>19</v>
      </c>
      <c r="B238" s="63"/>
      <c r="C238" s="80">
        <f>SUM(D238:G238)</f>
        <v>3238</v>
      </c>
      <c r="D238" s="54">
        <v>0</v>
      </c>
      <c r="E238" s="54">
        <v>656</v>
      </c>
      <c r="F238" s="54">
        <v>1291</v>
      </c>
      <c r="G238" s="54">
        <v>1291</v>
      </c>
      <c r="H238" s="118">
        <f t="shared" si="9"/>
        <v>0</v>
      </c>
      <c r="I238" s="54">
        <v>1291</v>
      </c>
      <c r="J238" s="80">
        <v>3238</v>
      </c>
      <c r="K238" s="55"/>
      <c r="L238" s="55"/>
      <c r="M238" s="55"/>
      <c r="IK238" s="66"/>
      <c r="IL238" s="66"/>
      <c r="IM238" s="66"/>
      <c r="IN238" s="66"/>
      <c r="IO238" s="66"/>
    </row>
    <row r="239" spans="1:249" s="65" customFormat="1" ht="30" customHeight="1">
      <c r="A239" s="50" t="s">
        <v>52</v>
      </c>
      <c r="B239" s="21" t="s">
        <v>56</v>
      </c>
      <c r="C239" s="23">
        <f>D239+E239+F239+G239</f>
        <v>7530</v>
      </c>
      <c r="D239" s="23">
        <v>0</v>
      </c>
      <c r="E239" s="23">
        <f>E240+E241+E242</f>
        <v>2124</v>
      </c>
      <c r="F239" s="23">
        <f>F240+F241+F242</f>
        <v>2915</v>
      </c>
      <c r="G239" s="23">
        <v>2491</v>
      </c>
      <c r="H239" s="118">
        <f t="shared" si="9"/>
        <v>0</v>
      </c>
      <c r="I239" s="23">
        <v>2491</v>
      </c>
      <c r="J239" s="23">
        <v>7530</v>
      </c>
      <c r="K239" s="55"/>
      <c r="L239" s="55"/>
      <c r="M239" s="55"/>
      <c r="IK239" s="66"/>
      <c r="IL239" s="66"/>
      <c r="IM239" s="66"/>
      <c r="IN239" s="66"/>
      <c r="IO239" s="66"/>
    </row>
    <row r="240" spans="1:249" s="65" customFormat="1" ht="16.5" customHeight="1">
      <c r="A240" s="26" t="s">
        <v>13</v>
      </c>
      <c r="B240" s="124"/>
      <c r="C240" s="54">
        <f>D240+E240+F240+G240</f>
        <v>2071</v>
      </c>
      <c r="D240" s="54">
        <v>0</v>
      </c>
      <c r="E240" s="54">
        <v>1041</v>
      </c>
      <c r="F240" s="54">
        <v>428</v>
      </c>
      <c r="G240" s="54">
        <v>602</v>
      </c>
      <c r="H240" s="118">
        <f t="shared" si="9"/>
        <v>0</v>
      </c>
      <c r="I240" s="54">
        <v>602</v>
      </c>
      <c r="J240" s="54">
        <v>2071</v>
      </c>
      <c r="K240" s="55"/>
      <c r="L240" s="55"/>
      <c r="M240" s="55"/>
      <c r="IK240" s="66"/>
      <c r="IL240" s="66"/>
      <c r="IM240" s="66"/>
      <c r="IN240" s="66"/>
      <c r="IO240" s="66"/>
    </row>
    <row r="241" spans="1:249" s="65" customFormat="1" ht="16.5" customHeight="1">
      <c r="A241" s="26" t="s">
        <v>14</v>
      </c>
      <c r="B241" s="124"/>
      <c r="C241" s="54">
        <f>D241+E241+F241+G241</f>
        <v>2155</v>
      </c>
      <c r="D241" s="54">
        <v>0</v>
      </c>
      <c r="E241" s="54">
        <v>1083</v>
      </c>
      <c r="F241" s="54">
        <v>446</v>
      </c>
      <c r="G241" s="54">
        <v>626</v>
      </c>
      <c r="H241" s="118">
        <f t="shared" si="9"/>
        <v>0</v>
      </c>
      <c r="I241" s="54">
        <v>626</v>
      </c>
      <c r="J241" s="54">
        <v>2155</v>
      </c>
      <c r="K241" s="55"/>
      <c r="L241" s="55"/>
      <c r="M241" s="55"/>
      <c r="IK241" s="66"/>
      <c r="IL241" s="66"/>
      <c r="IM241" s="66"/>
      <c r="IN241" s="66"/>
      <c r="IO241" s="66"/>
    </row>
    <row r="242" spans="1:249" s="65" customFormat="1" ht="16.5" customHeight="1">
      <c r="A242" s="30" t="s">
        <v>15</v>
      </c>
      <c r="B242" s="124"/>
      <c r="C242" s="54">
        <f>D242+E242+F242+G242</f>
        <v>3304</v>
      </c>
      <c r="D242" s="54">
        <v>0</v>
      </c>
      <c r="E242" s="54">
        <v>0</v>
      </c>
      <c r="F242" s="54">
        <v>2041</v>
      </c>
      <c r="G242" s="54">
        <v>1263</v>
      </c>
      <c r="H242" s="118">
        <f t="shared" si="9"/>
        <v>0</v>
      </c>
      <c r="I242" s="54">
        <v>1263</v>
      </c>
      <c r="J242" s="54">
        <v>3304</v>
      </c>
      <c r="K242" s="55"/>
      <c r="L242" s="55"/>
      <c r="M242" s="55"/>
      <c r="IK242" s="66"/>
      <c r="IL242" s="66"/>
      <c r="IM242" s="66"/>
      <c r="IN242" s="66"/>
      <c r="IO242" s="66"/>
    </row>
    <row r="243" spans="1:249" s="65" customFormat="1" ht="16.5" customHeight="1" hidden="1">
      <c r="A243" s="30"/>
      <c r="B243" s="39"/>
      <c r="C243" s="54"/>
      <c r="D243" s="54"/>
      <c r="E243" s="54"/>
      <c r="F243" s="54"/>
      <c r="G243" s="54"/>
      <c r="H243" s="118">
        <f t="shared" si="9"/>
        <v>0</v>
      </c>
      <c r="I243" s="54"/>
      <c r="J243" s="54"/>
      <c r="K243" s="55"/>
      <c r="L243" s="55"/>
      <c r="M243" s="55"/>
      <c r="IK243" s="66"/>
      <c r="IL243" s="66"/>
      <c r="IM243" s="66"/>
      <c r="IN243" s="66"/>
      <c r="IO243" s="66"/>
    </row>
    <row r="244" spans="1:249" s="65" customFormat="1" ht="16.5" customHeight="1" hidden="1">
      <c r="A244" s="31"/>
      <c r="B244" s="45"/>
      <c r="C244" s="71">
        <f>C245+C246+C247+C248</f>
        <v>3953</v>
      </c>
      <c r="D244" s="71">
        <f>D245+D246+D247+D248</f>
        <v>0</v>
      </c>
      <c r="E244" s="71">
        <f>E245+E246+E247+E248</f>
        <v>1274</v>
      </c>
      <c r="F244" s="71">
        <f>F245+F246+F247+F248</f>
        <v>708</v>
      </c>
      <c r="G244" s="71">
        <f>G245+G246+G247+G248</f>
        <v>1971</v>
      </c>
      <c r="H244" s="118">
        <f t="shared" si="9"/>
        <v>0</v>
      </c>
      <c r="I244" s="71">
        <f>I245+I246+I247+I248</f>
        <v>1971</v>
      </c>
      <c r="J244" s="71">
        <v>3953</v>
      </c>
      <c r="K244" s="55"/>
      <c r="L244" s="55"/>
      <c r="M244" s="55"/>
      <c r="IK244" s="66"/>
      <c r="IL244" s="66"/>
      <c r="IM244" s="66"/>
      <c r="IN244" s="66"/>
      <c r="IO244" s="66"/>
    </row>
    <row r="245" spans="1:249" s="65" customFormat="1" ht="16.5" customHeight="1" hidden="1">
      <c r="A245" s="30" t="s">
        <v>16</v>
      </c>
      <c r="B245" s="39"/>
      <c r="C245" s="54">
        <f>SUM(D245:G245)</f>
        <v>715</v>
      </c>
      <c r="D245" s="54">
        <v>0</v>
      </c>
      <c r="E245" s="54">
        <v>191</v>
      </c>
      <c r="F245" s="54">
        <v>262</v>
      </c>
      <c r="G245" s="54">
        <v>262</v>
      </c>
      <c r="H245" s="118">
        <f t="shared" si="9"/>
        <v>0</v>
      </c>
      <c r="I245" s="54">
        <v>262</v>
      </c>
      <c r="J245" s="54">
        <v>715</v>
      </c>
      <c r="K245" s="55"/>
      <c r="L245" s="55"/>
      <c r="M245" s="55"/>
      <c r="IK245" s="66"/>
      <c r="IL245" s="66"/>
      <c r="IM245" s="66"/>
      <c r="IN245" s="66"/>
      <c r="IO245" s="66"/>
    </row>
    <row r="246" spans="1:249" s="65" customFormat="1" ht="16.5" customHeight="1" hidden="1">
      <c r="A246" s="30" t="s">
        <v>17</v>
      </c>
      <c r="B246" s="39"/>
      <c r="C246" s="54">
        <f>SUM(D246:G246)</f>
        <v>1975</v>
      </c>
      <c r="D246" s="54">
        <v>0</v>
      </c>
      <c r="E246" s="54">
        <v>1083</v>
      </c>
      <c r="F246" s="54">
        <v>446</v>
      </c>
      <c r="G246" s="54">
        <v>446</v>
      </c>
      <c r="H246" s="118">
        <f t="shared" si="9"/>
        <v>0</v>
      </c>
      <c r="I246" s="54">
        <v>446</v>
      </c>
      <c r="J246" s="54">
        <v>1975</v>
      </c>
      <c r="K246" s="55"/>
      <c r="L246" s="55"/>
      <c r="M246" s="55"/>
      <c r="IK246" s="66"/>
      <c r="IL246" s="66"/>
      <c r="IM246" s="66"/>
      <c r="IN246" s="66"/>
      <c r="IO246" s="66"/>
    </row>
    <row r="247" spans="1:249" s="65" customFormat="1" ht="16.5" customHeight="1" hidden="1">
      <c r="A247" s="30" t="s">
        <v>18</v>
      </c>
      <c r="B247" s="39"/>
      <c r="C247" s="54">
        <f>SUM(D247:G247)</f>
        <v>0</v>
      </c>
      <c r="D247" s="54">
        <v>0</v>
      </c>
      <c r="E247" s="54">
        <v>0</v>
      </c>
      <c r="F247" s="54">
        <v>0</v>
      </c>
      <c r="G247" s="54">
        <v>0</v>
      </c>
      <c r="H247" s="118">
        <f t="shared" si="9"/>
        <v>0</v>
      </c>
      <c r="I247" s="54">
        <v>0</v>
      </c>
      <c r="J247" s="54">
        <v>0</v>
      </c>
      <c r="K247" s="55"/>
      <c r="L247" s="55"/>
      <c r="M247" s="55"/>
      <c r="IK247" s="66"/>
      <c r="IL247" s="66"/>
      <c r="IM247" s="66"/>
      <c r="IN247" s="66"/>
      <c r="IO247" s="66"/>
    </row>
    <row r="248" spans="1:249" s="65" customFormat="1" ht="14.25" hidden="1">
      <c r="A248" s="34" t="s">
        <v>19</v>
      </c>
      <c r="B248" s="63"/>
      <c r="C248" s="80">
        <f>D248+E248+F248+G248</f>
        <v>1263</v>
      </c>
      <c r="D248" s="54">
        <v>0</v>
      </c>
      <c r="E248" s="54">
        <v>0</v>
      </c>
      <c r="F248" s="54">
        <v>0</v>
      </c>
      <c r="G248" s="54">
        <f>(2206-520)-423</f>
        <v>1263</v>
      </c>
      <c r="H248" s="118">
        <f t="shared" si="9"/>
        <v>0</v>
      </c>
      <c r="I248" s="54">
        <f>(2206-520)-423</f>
        <v>1263</v>
      </c>
      <c r="J248" s="80">
        <v>1263</v>
      </c>
      <c r="K248" s="55"/>
      <c r="L248" s="55"/>
      <c r="M248" s="55"/>
      <c r="IK248" s="66"/>
      <c r="IL248" s="66"/>
      <c r="IM248" s="66"/>
      <c r="IN248" s="66"/>
      <c r="IO248" s="66"/>
    </row>
    <row r="249" spans="1:249" s="60" customFormat="1" ht="19.5" customHeight="1">
      <c r="A249" s="131" t="s">
        <v>57</v>
      </c>
      <c r="B249" s="131"/>
      <c r="C249" s="32">
        <f>C197+C208+C219+C229+C239</f>
        <v>29178</v>
      </c>
      <c r="D249" s="32">
        <f>D197+D208+D219+D229+D239</f>
        <v>45</v>
      </c>
      <c r="E249" s="32">
        <f>E197+E208+E219+E229+E239</f>
        <v>5610</v>
      </c>
      <c r="F249" s="32">
        <f>F197+F208+F219+F229+F239</f>
        <v>11848</v>
      </c>
      <c r="G249" s="32">
        <f>G197+G208+G219+G229+G239</f>
        <v>11675</v>
      </c>
      <c r="H249" s="118">
        <f t="shared" si="9"/>
        <v>0</v>
      </c>
      <c r="I249" s="32">
        <f>I197+I208+I219+I229+I239</f>
        <v>11675</v>
      </c>
      <c r="J249" s="32">
        <v>29178</v>
      </c>
      <c r="K249" s="58"/>
      <c r="L249" s="59"/>
      <c r="M249" s="59"/>
      <c r="N249" s="60">
        <v>2859</v>
      </c>
      <c r="O249" s="74">
        <f>C249-N249</f>
        <v>26319</v>
      </c>
      <c r="IK249" s="61"/>
      <c r="IL249" s="61"/>
      <c r="IM249" s="61"/>
      <c r="IN249" s="61"/>
      <c r="IO249" s="61"/>
    </row>
    <row r="250" spans="1:249" s="52" customFormat="1" ht="21" customHeight="1">
      <c r="A250" s="133" t="s">
        <v>58</v>
      </c>
      <c r="B250" s="133"/>
      <c r="C250" s="133"/>
      <c r="D250" s="23"/>
      <c r="E250" s="23"/>
      <c r="F250" s="71"/>
      <c r="G250" s="71"/>
      <c r="H250" s="118"/>
      <c r="I250" s="71"/>
      <c r="J250" s="71"/>
      <c r="K250" s="55"/>
      <c r="L250" s="56"/>
      <c r="M250" s="56"/>
      <c r="IK250" s="53"/>
      <c r="IL250" s="53"/>
      <c r="IM250" s="53"/>
      <c r="IN250" s="53"/>
      <c r="IO250" s="53"/>
    </row>
    <row r="251" spans="1:249" s="60" customFormat="1" ht="28.5" hidden="1">
      <c r="A251" s="50" t="s">
        <v>59</v>
      </c>
      <c r="B251" s="21" t="s">
        <v>60</v>
      </c>
      <c r="C251" s="71">
        <f>D251+E251+F251+G251</f>
        <v>1702</v>
      </c>
      <c r="D251" s="71">
        <v>0</v>
      </c>
      <c r="E251" s="71">
        <f>E252+E253+E254+E255</f>
        <v>1702</v>
      </c>
      <c r="F251" s="71">
        <f>F252+F253+F254+F255</f>
        <v>0</v>
      </c>
      <c r="G251" s="71">
        <f>G252+G253+G254+G255</f>
        <v>0</v>
      </c>
      <c r="H251" s="119"/>
      <c r="I251" s="71">
        <f>I252+I253+I254+I255</f>
        <v>0</v>
      </c>
      <c r="J251" s="71">
        <v>1702</v>
      </c>
      <c r="K251" s="58"/>
      <c r="L251" s="59"/>
      <c r="M251" s="59"/>
      <c r="IK251" s="61"/>
      <c r="IL251" s="61"/>
      <c r="IM251" s="61"/>
      <c r="IN251" s="61"/>
      <c r="IO251" s="61"/>
    </row>
    <row r="252" spans="1:249" s="52" customFormat="1" ht="16.5" customHeight="1" hidden="1">
      <c r="A252" s="30" t="s">
        <v>16</v>
      </c>
      <c r="B252" s="39"/>
      <c r="C252" s="54">
        <f>E252</f>
        <v>255</v>
      </c>
      <c r="D252" s="85"/>
      <c r="E252" s="54">
        <v>255</v>
      </c>
      <c r="F252" s="54">
        <v>0</v>
      </c>
      <c r="G252" s="54">
        <v>0</v>
      </c>
      <c r="H252" s="118"/>
      <c r="I252" s="54">
        <v>0</v>
      </c>
      <c r="J252" s="54">
        <v>255</v>
      </c>
      <c r="K252" s="55"/>
      <c r="L252" s="56"/>
      <c r="M252" s="56"/>
      <c r="IK252" s="53"/>
      <c r="IL252" s="53"/>
      <c r="IM252" s="53"/>
      <c r="IN252" s="53"/>
      <c r="IO252" s="53"/>
    </row>
    <row r="253" spans="1:249" s="52" customFormat="1" ht="16.5" customHeight="1" hidden="1">
      <c r="A253" s="30" t="s">
        <v>61</v>
      </c>
      <c r="B253" s="39"/>
      <c r="C253" s="54">
        <f>E253</f>
        <v>0</v>
      </c>
      <c r="D253" s="85"/>
      <c r="E253" s="54"/>
      <c r="F253" s="54">
        <v>0</v>
      </c>
      <c r="G253" s="54">
        <v>0</v>
      </c>
      <c r="H253" s="118"/>
      <c r="I253" s="54">
        <v>0</v>
      </c>
      <c r="J253" s="54">
        <v>0</v>
      </c>
      <c r="K253" s="55"/>
      <c r="L253" s="56"/>
      <c r="M253" s="56"/>
      <c r="IK253" s="53"/>
      <c r="IL253" s="53"/>
      <c r="IM253" s="53"/>
      <c r="IN253" s="53"/>
      <c r="IO253" s="53"/>
    </row>
    <row r="254" spans="1:249" s="52" customFormat="1" ht="16.5" customHeight="1" hidden="1">
      <c r="A254" s="30" t="s">
        <v>62</v>
      </c>
      <c r="B254" s="39"/>
      <c r="C254" s="54">
        <f>E254</f>
        <v>1447</v>
      </c>
      <c r="D254" s="85"/>
      <c r="E254" s="54">
        <v>1447</v>
      </c>
      <c r="F254" s="54">
        <v>0</v>
      </c>
      <c r="G254" s="54">
        <v>0</v>
      </c>
      <c r="H254" s="118"/>
      <c r="I254" s="54">
        <v>0</v>
      </c>
      <c r="J254" s="54">
        <v>1447</v>
      </c>
      <c r="K254" s="55"/>
      <c r="L254" s="56"/>
      <c r="M254" s="56"/>
      <c r="IK254" s="53"/>
      <c r="IL254" s="53"/>
      <c r="IM254" s="53"/>
      <c r="IN254" s="53"/>
      <c r="IO254" s="53"/>
    </row>
    <row r="255" spans="1:249" s="65" customFormat="1" ht="14.25" hidden="1">
      <c r="A255" s="34" t="s">
        <v>19</v>
      </c>
      <c r="B255" s="63"/>
      <c r="C255" s="80">
        <f>D255+E255+F255+G255</f>
        <v>0</v>
      </c>
      <c r="D255" s="54">
        <v>0</v>
      </c>
      <c r="E255" s="54">
        <v>0</v>
      </c>
      <c r="F255" s="54">
        <v>0</v>
      </c>
      <c r="G255" s="54">
        <v>0</v>
      </c>
      <c r="H255" s="120"/>
      <c r="I255" s="54">
        <v>0</v>
      </c>
      <c r="J255" s="80">
        <v>0</v>
      </c>
      <c r="K255" s="55"/>
      <c r="L255" s="55"/>
      <c r="M255" s="55"/>
      <c r="IK255" s="66"/>
      <c r="IL255" s="66"/>
      <c r="IM255" s="66"/>
      <c r="IN255" s="66"/>
      <c r="IO255" s="66"/>
    </row>
    <row r="256" spans="1:249" s="52" customFormat="1" ht="16.5" customHeight="1" hidden="1">
      <c r="A256" s="30"/>
      <c r="B256" s="83"/>
      <c r="C256" s="28"/>
      <c r="D256" s="54"/>
      <c r="E256" s="54"/>
      <c r="F256" s="54"/>
      <c r="G256" s="54"/>
      <c r="H256" s="118"/>
      <c r="I256" s="54"/>
      <c r="J256" s="28"/>
      <c r="K256" s="86"/>
      <c r="L256" s="56"/>
      <c r="M256" s="56"/>
      <c r="IK256" s="53"/>
      <c r="IL256" s="53"/>
      <c r="IM256" s="53"/>
      <c r="IN256" s="53"/>
      <c r="IO256" s="53"/>
    </row>
    <row r="257" spans="1:249" s="52" customFormat="1" ht="32.25" customHeight="1">
      <c r="A257" s="50" t="s">
        <v>59</v>
      </c>
      <c r="B257" s="21" t="s">
        <v>63</v>
      </c>
      <c r="C257" s="23">
        <f>D257+E257+F257+G257</f>
        <v>49</v>
      </c>
      <c r="D257" s="23">
        <f>D258+D259+D260</f>
        <v>3</v>
      </c>
      <c r="E257" s="23">
        <f>E258+E259+E260</f>
        <v>27</v>
      </c>
      <c r="F257" s="23">
        <f>F258+F259+F260</f>
        <v>19</v>
      </c>
      <c r="G257" s="23">
        <f>G258+G259+G260</f>
        <v>0</v>
      </c>
      <c r="H257" s="118">
        <v>0</v>
      </c>
      <c r="I257" s="23">
        <f>I258+I259+I260</f>
        <v>0</v>
      </c>
      <c r="J257" s="23">
        <v>49</v>
      </c>
      <c r="K257" s="55"/>
      <c r="L257" s="56"/>
      <c r="M257" s="56"/>
      <c r="IK257" s="53"/>
      <c r="IL257" s="53"/>
      <c r="IM257" s="53"/>
      <c r="IN257" s="53"/>
      <c r="IO257" s="53"/>
    </row>
    <row r="258" spans="1:249" s="52" customFormat="1" ht="16.5" customHeight="1">
      <c r="A258" s="26" t="s">
        <v>64</v>
      </c>
      <c r="B258" s="39"/>
      <c r="C258" s="54">
        <f>D258+E258+F258+G258</f>
        <v>19</v>
      </c>
      <c r="D258" s="54">
        <v>0</v>
      </c>
      <c r="E258" s="54">
        <v>0</v>
      </c>
      <c r="F258" s="54">
        <v>19</v>
      </c>
      <c r="G258" s="54">
        <v>0</v>
      </c>
      <c r="H258" s="118">
        <v>0</v>
      </c>
      <c r="I258" s="54">
        <v>0</v>
      </c>
      <c r="J258" s="54">
        <v>19</v>
      </c>
      <c r="K258" s="55"/>
      <c r="L258" s="56"/>
      <c r="M258" s="56"/>
      <c r="IK258" s="53"/>
      <c r="IL258" s="53"/>
      <c r="IM258" s="53"/>
      <c r="IN258" s="53"/>
      <c r="IO258" s="53"/>
    </row>
    <row r="259" spans="1:249" s="52" customFormat="1" ht="16.5" customHeight="1">
      <c r="A259" s="26" t="s">
        <v>65</v>
      </c>
      <c r="B259" s="39"/>
      <c r="C259" s="54">
        <f>D259+E259+F259+G259</f>
        <v>30</v>
      </c>
      <c r="D259" s="54">
        <v>3</v>
      </c>
      <c r="E259" s="54">
        <v>27</v>
      </c>
      <c r="F259" s="54">
        <v>0</v>
      </c>
      <c r="G259" s="54">
        <v>0</v>
      </c>
      <c r="H259" s="118">
        <v>0</v>
      </c>
      <c r="I259" s="54">
        <v>0</v>
      </c>
      <c r="J259" s="54">
        <v>30</v>
      </c>
      <c r="K259" s="55"/>
      <c r="L259" s="56"/>
      <c r="M259" s="56"/>
      <c r="IK259" s="53"/>
      <c r="IL259" s="53"/>
      <c r="IM259" s="53"/>
      <c r="IN259" s="53"/>
      <c r="IO259" s="53"/>
    </row>
    <row r="260" spans="1:249" s="52" customFormat="1" ht="16.5" customHeight="1">
      <c r="A260" s="26" t="s">
        <v>66</v>
      </c>
      <c r="B260" s="39"/>
      <c r="C260" s="54">
        <f>D260+E260+F260+G260</f>
        <v>0</v>
      </c>
      <c r="D260" s="54">
        <v>0</v>
      </c>
      <c r="E260" s="54">
        <v>0</v>
      </c>
      <c r="F260" s="54">
        <v>0</v>
      </c>
      <c r="G260" s="54">
        <v>0</v>
      </c>
      <c r="H260" s="118">
        <v>0</v>
      </c>
      <c r="I260" s="54">
        <v>0</v>
      </c>
      <c r="J260" s="54">
        <v>0</v>
      </c>
      <c r="K260" s="55"/>
      <c r="L260" s="56"/>
      <c r="M260" s="56"/>
      <c r="IK260" s="53"/>
      <c r="IL260" s="53"/>
      <c r="IM260" s="53"/>
      <c r="IN260" s="53"/>
      <c r="IO260" s="53"/>
    </row>
    <row r="261" spans="1:249" s="52" customFormat="1" ht="16.5" customHeight="1" hidden="1">
      <c r="A261" s="30"/>
      <c r="B261" s="39"/>
      <c r="C261" s="54"/>
      <c r="D261" s="54"/>
      <c r="E261" s="54"/>
      <c r="F261" s="54"/>
      <c r="G261" s="54"/>
      <c r="H261" s="118"/>
      <c r="I261" s="54"/>
      <c r="J261" s="54"/>
      <c r="K261" s="55"/>
      <c r="L261" s="56"/>
      <c r="M261" s="56"/>
      <c r="IK261" s="53"/>
      <c r="IL261" s="53"/>
      <c r="IM261" s="53"/>
      <c r="IN261" s="53"/>
      <c r="IO261" s="53"/>
    </row>
    <row r="262" spans="1:249" s="60" customFormat="1" ht="16.5" customHeight="1" hidden="1">
      <c r="A262" s="31"/>
      <c r="B262" s="45"/>
      <c r="C262" s="71">
        <f>D262+E262+F262+G262</f>
        <v>49</v>
      </c>
      <c r="D262" s="71">
        <f>D263+D264+D265+D266</f>
        <v>3</v>
      </c>
      <c r="E262" s="71">
        <f>E263+E264+E265+E266</f>
        <v>27</v>
      </c>
      <c r="F262" s="71">
        <f>F263+F264+F265+F266</f>
        <v>19</v>
      </c>
      <c r="G262" s="71">
        <f>G263+G264+G265+G266</f>
        <v>0</v>
      </c>
      <c r="H262" s="119"/>
      <c r="I262" s="71">
        <f>I263+I264+I265+I266</f>
        <v>0</v>
      </c>
      <c r="J262" s="71">
        <v>49</v>
      </c>
      <c r="K262" s="58"/>
      <c r="L262" s="59"/>
      <c r="M262" s="59"/>
      <c r="IK262" s="61"/>
      <c r="IL262" s="61"/>
      <c r="IM262" s="61"/>
      <c r="IN262" s="61"/>
      <c r="IO262" s="61"/>
    </row>
    <row r="263" spans="1:249" s="52" customFormat="1" ht="16.5" customHeight="1" hidden="1">
      <c r="A263" s="30" t="s">
        <v>16</v>
      </c>
      <c r="B263" s="39"/>
      <c r="C263" s="54">
        <f>D263+E263+F263+G263</f>
        <v>0</v>
      </c>
      <c r="D263" s="54">
        <v>0</v>
      </c>
      <c r="E263" s="54">
        <v>0</v>
      </c>
      <c r="F263" s="54">
        <v>0</v>
      </c>
      <c r="G263" s="54">
        <v>0</v>
      </c>
      <c r="H263" s="118"/>
      <c r="I263" s="54">
        <v>0</v>
      </c>
      <c r="J263" s="54">
        <v>0</v>
      </c>
      <c r="K263" s="55"/>
      <c r="L263" s="56"/>
      <c r="M263" s="56"/>
      <c r="IK263" s="53"/>
      <c r="IL263" s="53"/>
      <c r="IM263" s="53"/>
      <c r="IN263" s="53"/>
      <c r="IO263" s="53"/>
    </row>
    <row r="264" spans="1:249" s="52" customFormat="1" ht="16.5" customHeight="1" hidden="1">
      <c r="A264" s="30" t="s">
        <v>67</v>
      </c>
      <c r="B264" s="39"/>
      <c r="C264" s="54">
        <f>D264+E264+F264+G264</f>
        <v>49</v>
      </c>
      <c r="D264" s="54">
        <v>3</v>
      </c>
      <c r="E264" s="54">
        <v>27</v>
      </c>
      <c r="F264" s="54">
        <v>19</v>
      </c>
      <c r="G264" s="54">
        <v>0</v>
      </c>
      <c r="H264" s="118"/>
      <c r="I264" s="54">
        <v>0</v>
      </c>
      <c r="J264" s="54">
        <v>49</v>
      </c>
      <c r="K264" s="55"/>
      <c r="L264" s="56"/>
      <c r="M264" s="56"/>
      <c r="IK264" s="53"/>
      <c r="IL264" s="53"/>
      <c r="IM264" s="53"/>
      <c r="IN264" s="53"/>
      <c r="IO264" s="53"/>
    </row>
    <row r="265" spans="1:249" s="52" customFormat="1" ht="16.5" customHeight="1" hidden="1">
      <c r="A265" s="30" t="s">
        <v>68</v>
      </c>
      <c r="B265" s="39"/>
      <c r="C265" s="54">
        <f>SUM(D265:G265)</f>
        <v>0</v>
      </c>
      <c r="D265" s="54">
        <v>0</v>
      </c>
      <c r="E265" s="54">
        <v>0</v>
      </c>
      <c r="F265" s="54">
        <v>0</v>
      </c>
      <c r="G265" s="54">
        <v>0</v>
      </c>
      <c r="H265" s="118"/>
      <c r="I265" s="54">
        <v>0</v>
      </c>
      <c r="J265" s="54">
        <v>0</v>
      </c>
      <c r="K265" s="55"/>
      <c r="L265" s="56"/>
      <c r="M265" s="56"/>
      <c r="IK265" s="53"/>
      <c r="IL265" s="53"/>
      <c r="IM265" s="53"/>
      <c r="IN265" s="53"/>
      <c r="IO265" s="53"/>
    </row>
    <row r="266" spans="1:249" s="65" customFormat="1" ht="14.25" hidden="1">
      <c r="A266" s="34" t="s">
        <v>19</v>
      </c>
      <c r="B266" s="63"/>
      <c r="C266" s="80">
        <f>D266+E266+F266+G266</f>
        <v>0</v>
      </c>
      <c r="D266" s="54">
        <v>0</v>
      </c>
      <c r="E266" s="54">
        <v>0</v>
      </c>
      <c r="F266" s="54">
        <v>0</v>
      </c>
      <c r="G266" s="54">
        <v>0</v>
      </c>
      <c r="H266" s="120"/>
      <c r="I266" s="54">
        <v>0</v>
      </c>
      <c r="J266" s="80">
        <v>0</v>
      </c>
      <c r="K266" s="55"/>
      <c r="L266" s="55"/>
      <c r="M266" s="55"/>
      <c r="IK266" s="66"/>
      <c r="IL266" s="66"/>
      <c r="IM266" s="66"/>
      <c r="IN266" s="66"/>
      <c r="IO266" s="66"/>
    </row>
    <row r="267" spans="1:249" s="60" customFormat="1" ht="20.25" customHeight="1">
      <c r="A267" s="131" t="s">
        <v>69</v>
      </c>
      <c r="B267" s="131"/>
      <c r="C267" s="32">
        <f>C257</f>
        <v>49</v>
      </c>
      <c r="D267" s="32">
        <f>D257</f>
        <v>3</v>
      </c>
      <c r="E267" s="32">
        <f>E257</f>
        <v>27</v>
      </c>
      <c r="F267" s="32">
        <f>F257</f>
        <v>19</v>
      </c>
      <c r="G267" s="32">
        <f>G257</f>
        <v>0</v>
      </c>
      <c r="H267" s="119">
        <v>0</v>
      </c>
      <c r="I267" s="32">
        <f>I257</f>
        <v>0</v>
      </c>
      <c r="J267" s="32">
        <v>49</v>
      </c>
      <c r="K267" s="58"/>
      <c r="L267" s="59"/>
      <c r="M267" s="59"/>
      <c r="IK267" s="61"/>
      <c r="IL267" s="61"/>
      <c r="IM267" s="61"/>
      <c r="IN267" s="61"/>
      <c r="IO267" s="61"/>
    </row>
    <row r="268" spans="1:249" s="52" customFormat="1" ht="20.25" customHeight="1">
      <c r="A268" s="123" t="s">
        <v>70</v>
      </c>
      <c r="B268" s="123"/>
      <c r="C268" s="123"/>
      <c r="D268" s="71"/>
      <c r="E268" s="71"/>
      <c r="F268" s="54"/>
      <c r="G268" s="87"/>
      <c r="H268" s="118"/>
      <c r="I268" s="87"/>
      <c r="J268" s="87"/>
      <c r="K268" s="55"/>
      <c r="L268" s="56"/>
      <c r="M268" s="56"/>
      <c r="IK268" s="53"/>
      <c r="IL268" s="53"/>
      <c r="IM268" s="53"/>
      <c r="IN268" s="53"/>
      <c r="IO268" s="53"/>
    </row>
    <row r="269" spans="1:248" s="52" customFormat="1" ht="153" customHeight="1">
      <c r="A269" s="21" t="s">
        <v>71</v>
      </c>
      <c r="B269" s="45" t="s">
        <v>72</v>
      </c>
      <c r="C269" s="23">
        <f>D269+E269+F269+G269</f>
        <v>42864</v>
      </c>
      <c r="D269" s="23">
        <f>D270+D271+D272</f>
        <v>0</v>
      </c>
      <c r="E269" s="23">
        <f>E270+E271+E272</f>
        <v>16649</v>
      </c>
      <c r="F269" s="23">
        <f>F270+F271+F272</f>
        <v>21108</v>
      </c>
      <c r="G269" s="23">
        <f>G270+G271+G272</f>
        <v>5106.999999999999</v>
      </c>
      <c r="H269" s="118">
        <v>0</v>
      </c>
      <c r="I269" s="23">
        <v>5106.999999999999</v>
      </c>
      <c r="J269" s="23">
        <v>42864</v>
      </c>
      <c r="K269" s="67">
        <f>K270+K272</f>
        <v>0</v>
      </c>
      <c r="L269" s="67">
        <f>L270+L272</f>
        <v>16649</v>
      </c>
      <c r="M269" s="67">
        <f>M270+M272</f>
        <v>21108</v>
      </c>
      <c r="N269" s="67">
        <f>N270+N272</f>
        <v>5107</v>
      </c>
      <c r="IJ269" s="53"/>
      <c r="IK269" s="53"/>
      <c r="IL269" s="53"/>
      <c r="IM269" s="53"/>
      <c r="IN269" s="53"/>
    </row>
    <row r="270" spans="1:249" s="52" customFormat="1" ht="19.5" customHeight="1">
      <c r="A270" s="26" t="s">
        <v>13</v>
      </c>
      <c r="B270" s="39"/>
      <c r="C270" s="54">
        <f>D270+E270+F270+G270</f>
        <v>6400.65</v>
      </c>
      <c r="D270" s="54">
        <f>K270*0.15</f>
        <v>0</v>
      </c>
      <c r="E270" s="54">
        <f>L270*0.15</f>
        <v>2497.35</v>
      </c>
      <c r="F270" s="54">
        <f>M270*0.15</f>
        <v>3151.65</v>
      </c>
      <c r="G270" s="54">
        <f>N270*0.15</f>
        <v>751.65</v>
      </c>
      <c r="H270" s="118">
        <f>H269</f>
        <v>0</v>
      </c>
      <c r="I270" s="54">
        <v>751.65</v>
      </c>
      <c r="J270" s="54">
        <v>6400.65</v>
      </c>
      <c r="K270" s="126">
        <f>0</f>
        <v>0</v>
      </c>
      <c r="L270" s="126">
        <f>14+627+2+6+32000/2</f>
        <v>16649</v>
      </c>
      <c r="M270" s="127">
        <f>(38304-32000+121+360+261+2976)/2+32000/2</f>
        <v>21011</v>
      </c>
      <c r="N270" s="127">
        <f>(38304-32000+121+360+261+2976)/2</f>
        <v>5011</v>
      </c>
      <c r="IK270" s="53"/>
      <c r="IL270" s="53"/>
      <c r="IM270" s="53"/>
      <c r="IN270" s="53"/>
      <c r="IO270" s="53"/>
    </row>
    <row r="271" spans="1:249" s="52" customFormat="1" ht="23.25" customHeight="1">
      <c r="A271" s="30" t="s">
        <v>14</v>
      </c>
      <c r="B271" s="39"/>
      <c r="C271" s="54">
        <f>D271+E271+F271+G271</f>
        <v>36270.35</v>
      </c>
      <c r="D271" s="54">
        <f>K270*0.85</f>
        <v>0</v>
      </c>
      <c r="E271" s="54">
        <f>L270*0.85</f>
        <v>14151.65</v>
      </c>
      <c r="F271" s="54">
        <f>M270*0.85</f>
        <v>17859.35</v>
      </c>
      <c r="G271" s="54">
        <f>N270*0.85</f>
        <v>4259.349999999999</v>
      </c>
      <c r="H271" s="118">
        <f aca="true" t="shared" si="11" ref="H271:H334">H270</f>
        <v>0</v>
      </c>
      <c r="I271" s="54">
        <v>4259.349999999999</v>
      </c>
      <c r="J271" s="54">
        <v>36270.35</v>
      </c>
      <c r="K271" s="126"/>
      <c r="L271" s="126"/>
      <c r="M271" s="126"/>
      <c r="N271" s="127"/>
      <c r="IK271" s="53"/>
      <c r="IL271" s="53"/>
      <c r="IM271" s="53"/>
      <c r="IN271" s="53"/>
      <c r="IO271" s="53"/>
    </row>
    <row r="272" spans="1:249" s="52" customFormat="1" ht="21.75" customHeight="1">
      <c r="A272" s="30" t="s">
        <v>15</v>
      </c>
      <c r="B272" s="39"/>
      <c r="C272" s="54">
        <f>D272+E272+F272+G272</f>
        <v>193</v>
      </c>
      <c r="D272" s="54">
        <f>K272</f>
        <v>0</v>
      </c>
      <c r="E272" s="54">
        <f>L272</f>
        <v>0</v>
      </c>
      <c r="F272" s="54">
        <f>M272</f>
        <v>97</v>
      </c>
      <c r="G272" s="54">
        <f>N272</f>
        <v>96</v>
      </c>
      <c r="H272" s="118">
        <f t="shared" si="11"/>
        <v>0</v>
      </c>
      <c r="I272" s="54">
        <v>96</v>
      </c>
      <c r="J272" s="54">
        <v>193</v>
      </c>
      <c r="K272" s="67"/>
      <c r="L272" s="67"/>
      <c r="M272" s="67">
        <f>194/2</f>
        <v>97</v>
      </c>
      <c r="N272" s="67">
        <f>192/2</f>
        <v>96</v>
      </c>
      <c r="IK272" s="53"/>
      <c r="IL272" s="53"/>
      <c r="IM272" s="53"/>
      <c r="IN272" s="53"/>
      <c r="IO272" s="53"/>
    </row>
    <row r="273" spans="1:249" s="52" customFormat="1" ht="16.5" customHeight="1" hidden="1">
      <c r="A273" s="30"/>
      <c r="B273" s="39" t="s">
        <v>73</v>
      </c>
      <c r="C273" s="54"/>
      <c r="D273" s="54"/>
      <c r="E273" s="54"/>
      <c r="F273" s="54"/>
      <c r="G273" s="54"/>
      <c r="H273" s="118">
        <f t="shared" si="11"/>
        <v>0</v>
      </c>
      <c r="I273" s="54"/>
      <c r="J273" s="54"/>
      <c r="K273" s="55"/>
      <c r="L273" s="56"/>
      <c r="M273" s="56"/>
      <c r="IK273" s="53"/>
      <c r="IL273" s="53"/>
      <c r="IM273" s="53"/>
      <c r="IN273" s="53"/>
      <c r="IO273" s="53"/>
    </row>
    <row r="274" spans="1:249" s="60" customFormat="1" ht="18.75" customHeight="1" hidden="1">
      <c r="A274" s="31"/>
      <c r="B274" s="45"/>
      <c r="C274" s="57">
        <f>C275+C276+C277+C279+C278</f>
        <v>42864.399999999994</v>
      </c>
      <c r="D274" s="57">
        <f>D275+D276+D277+D279+D278</f>
        <v>0</v>
      </c>
      <c r="E274" s="57">
        <f>E275+E276+E277+E279+E278</f>
        <v>16649</v>
      </c>
      <c r="F274" s="57">
        <f>F275+F276+F277+F279+F278</f>
        <v>21108.2</v>
      </c>
      <c r="G274" s="57">
        <f>G275+G276+G277+G279+G278</f>
        <v>5107.2</v>
      </c>
      <c r="H274" s="118">
        <f t="shared" si="11"/>
        <v>0</v>
      </c>
      <c r="I274" s="57">
        <v>5107.2</v>
      </c>
      <c r="J274" s="57">
        <v>42864.399999999994</v>
      </c>
      <c r="K274" s="58"/>
      <c r="L274" s="59"/>
      <c r="M274" s="59"/>
      <c r="IK274" s="61"/>
      <c r="IL274" s="61"/>
      <c r="IM274" s="61"/>
      <c r="IN274" s="61"/>
      <c r="IO274" s="61"/>
    </row>
    <row r="275" spans="1:249" s="60" customFormat="1" ht="18.75" customHeight="1" hidden="1">
      <c r="A275" s="30" t="s">
        <v>16</v>
      </c>
      <c r="B275" s="45"/>
      <c r="C275" s="62">
        <f aca="true" t="shared" si="12" ref="C275:C280">D275+E275+F275+G275</f>
        <v>5547.63</v>
      </c>
      <c r="D275" s="62">
        <f>K270*0.13</f>
        <v>0</v>
      </c>
      <c r="E275" s="62">
        <f>L270*0.13</f>
        <v>2164.37</v>
      </c>
      <c r="F275" s="88">
        <f>M270*0.13+0.2</f>
        <v>2731.63</v>
      </c>
      <c r="G275" s="88">
        <f>N270*0.13+0.2</f>
        <v>651.6300000000001</v>
      </c>
      <c r="H275" s="118">
        <f t="shared" si="11"/>
        <v>0</v>
      </c>
      <c r="I275" s="88">
        <v>651.6300000000001</v>
      </c>
      <c r="J275" s="62">
        <v>5547.63</v>
      </c>
      <c r="K275" s="55"/>
      <c r="L275" s="56"/>
      <c r="M275" s="56"/>
      <c r="N275" s="52"/>
      <c r="IK275" s="61"/>
      <c r="IL275" s="61"/>
      <c r="IM275" s="61"/>
      <c r="IN275" s="61"/>
      <c r="IO275" s="61"/>
    </row>
    <row r="276" spans="1:249" s="60" customFormat="1" ht="18.75" customHeight="1" hidden="1">
      <c r="A276" s="30" t="s">
        <v>17</v>
      </c>
      <c r="B276" s="45"/>
      <c r="C276" s="62">
        <f t="shared" si="12"/>
        <v>35467.35</v>
      </c>
      <c r="D276" s="62">
        <f>K270*0.85</f>
        <v>0</v>
      </c>
      <c r="E276" s="62">
        <f>L270*0.85</f>
        <v>14151.65</v>
      </c>
      <c r="F276" s="62">
        <f>M270*0.85-803</f>
        <v>17056.35</v>
      </c>
      <c r="G276" s="62">
        <f>(N270*0.85)</f>
        <v>4259.349999999999</v>
      </c>
      <c r="H276" s="118">
        <f t="shared" si="11"/>
        <v>0</v>
      </c>
      <c r="I276" s="62">
        <v>4259.349999999999</v>
      </c>
      <c r="J276" s="62">
        <v>35467.35</v>
      </c>
      <c r="K276" s="55"/>
      <c r="L276" s="56"/>
      <c r="M276" s="56"/>
      <c r="N276" s="52"/>
      <c r="IK276" s="61"/>
      <c r="IL276" s="61"/>
      <c r="IM276" s="61"/>
      <c r="IN276" s="61"/>
      <c r="IO276" s="61"/>
    </row>
    <row r="277" spans="1:249" s="60" customFormat="1" ht="18.75" customHeight="1" hidden="1">
      <c r="A277" s="30" t="s">
        <v>18</v>
      </c>
      <c r="B277" s="45"/>
      <c r="C277" s="62">
        <f t="shared" si="12"/>
        <v>803</v>
      </c>
      <c r="D277" s="89">
        <v>0</v>
      </c>
      <c r="E277" s="62">
        <v>0</v>
      </c>
      <c r="F277" s="62">
        <v>803</v>
      </c>
      <c r="G277" s="62">
        <v>0</v>
      </c>
      <c r="H277" s="118">
        <f t="shared" si="11"/>
        <v>0</v>
      </c>
      <c r="I277" s="62">
        <v>0</v>
      </c>
      <c r="J277" s="62">
        <v>803</v>
      </c>
      <c r="K277" s="55"/>
      <c r="L277" s="56"/>
      <c r="M277" s="56"/>
      <c r="N277" s="52"/>
      <c r="IK277" s="61"/>
      <c r="IL277" s="61"/>
      <c r="IM277" s="61"/>
      <c r="IN277" s="61"/>
      <c r="IO277" s="61"/>
    </row>
    <row r="278" spans="1:249" s="60" customFormat="1" ht="18.75" customHeight="1" hidden="1">
      <c r="A278" s="30" t="s">
        <v>28</v>
      </c>
      <c r="B278" s="45"/>
      <c r="C278" s="62">
        <f t="shared" si="12"/>
        <v>0</v>
      </c>
      <c r="D278" s="62">
        <v>0</v>
      </c>
      <c r="E278" s="62">
        <v>0</v>
      </c>
      <c r="F278" s="62">
        <v>0</v>
      </c>
      <c r="G278" s="62">
        <v>0</v>
      </c>
      <c r="H278" s="118">
        <f t="shared" si="11"/>
        <v>0</v>
      </c>
      <c r="I278" s="62">
        <v>0</v>
      </c>
      <c r="J278" s="62">
        <v>0</v>
      </c>
      <c r="K278" s="55"/>
      <c r="L278" s="56"/>
      <c r="M278" s="56"/>
      <c r="N278" s="52"/>
      <c r="IK278" s="61"/>
      <c r="IL278" s="61"/>
      <c r="IM278" s="61"/>
      <c r="IN278" s="61"/>
      <c r="IO278" s="61"/>
    </row>
    <row r="279" spans="1:249" s="65" customFormat="1" ht="14.25" hidden="1">
      <c r="A279" s="34" t="s">
        <v>19</v>
      </c>
      <c r="B279" s="63"/>
      <c r="C279" s="64">
        <f t="shared" si="12"/>
        <v>1046.42</v>
      </c>
      <c r="D279" s="62">
        <f>K270*2/100+K272</f>
        <v>0</v>
      </c>
      <c r="E279" s="62">
        <f>L270*2/100+L272</f>
        <v>332.98</v>
      </c>
      <c r="F279" s="62">
        <f>M270*2/100+M272</f>
        <v>517.22</v>
      </c>
      <c r="G279" s="62">
        <f>N270*2/100+N272</f>
        <v>196.22</v>
      </c>
      <c r="H279" s="118">
        <f t="shared" si="11"/>
        <v>0</v>
      </c>
      <c r="I279" s="62">
        <v>196.22</v>
      </c>
      <c r="J279" s="64">
        <v>1046.42</v>
      </c>
      <c r="K279" s="55"/>
      <c r="L279" s="55"/>
      <c r="M279" s="55"/>
      <c r="IK279" s="66"/>
      <c r="IL279" s="66"/>
      <c r="IM279" s="66"/>
      <c r="IN279" s="66"/>
      <c r="IO279" s="66"/>
    </row>
    <row r="280" spans="1:248" s="52" customFormat="1" ht="36" customHeight="1">
      <c r="A280" s="21" t="s">
        <v>71</v>
      </c>
      <c r="B280" s="45" t="s">
        <v>74</v>
      </c>
      <c r="C280" s="23">
        <f t="shared" si="12"/>
        <v>27861</v>
      </c>
      <c r="D280" s="23">
        <f>D281+D282+D283</f>
        <v>0</v>
      </c>
      <c r="E280" s="23">
        <f>E281+E282+E283</f>
        <v>9432</v>
      </c>
      <c r="F280" s="23">
        <f>F281+F282+F283</f>
        <v>9215</v>
      </c>
      <c r="G280" s="23">
        <f>G281+G282+G283</f>
        <v>9214</v>
      </c>
      <c r="H280" s="118">
        <f t="shared" si="11"/>
        <v>0</v>
      </c>
      <c r="I280" s="23">
        <v>9214</v>
      </c>
      <c r="J280" s="23">
        <v>27861</v>
      </c>
      <c r="K280" s="51">
        <f>K281+K283</f>
        <v>0</v>
      </c>
      <c r="L280" s="51">
        <f>L281+L283</f>
        <v>9432</v>
      </c>
      <c r="M280" s="51">
        <f>M281+M283</f>
        <v>9215</v>
      </c>
      <c r="N280" s="51">
        <f>N281+N283</f>
        <v>9214</v>
      </c>
      <c r="IJ280" s="53"/>
      <c r="IK280" s="53"/>
      <c r="IL280" s="53"/>
      <c r="IM280" s="53"/>
      <c r="IN280" s="53"/>
    </row>
    <row r="281" spans="1:249" s="52" customFormat="1" ht="16.5" customHeight="1">
      <c r="A281" s="26" t="s">
        <v>13</v>
      </c>
      <c r="B281" s="39"/>
      <c r="C281" s="54">
        <f>(D281+E281+F281+G281)</f>
        <v>4170.3</v>
      </c>
      <c r="D281" s="54">
        <v>0</v>
      </c>
      <c r="E281" s="54">
        <f>L281*0.15</f>
        <v>1411.8</v>
      </c>
      <c r="F281" s="54">
        <f>M281*0.15</f>
        <v>1379.25</v>
      </c>
      <c r="G281" s="54">
        <f>N281*0.15</f>
        <v>1379.25</v>
      </c>
      <c r="H281" s="118">
        <f t="shared" si="11"/>
        <v>0</v>
      </c>
      <c r="I281" s="54">
        <v>1379.25</v>
      </c>
      <c r="J281" s="54">
        <v>4170.3</v>
      </c>
      <c r="K281" s="128">
        <v>0</v>
      </c>
      <c r="L281" s="128">
        <f>(27802-217)/3+217</f>
        <v>9412</v>
      </c>
      <c r="M281" s="129">
        <f>(27802-217)/3</f>
        <v>9195</v>
      </c>
      <c r="N281" s="129">
        <f>(27802-217)/3</f>
        <v>9195</v>
      </c>
      <c r="IK281" s="53"/>
      <c r="IL281" s="53"/>
      <c r="IM281" s="53"/>
      <c r="IN281" s="53"/>
      <c r="IO281" s="53"/>
    </row>
    <row r="282" spans="1:249" s="52" customFormat="1" ht="16.5" customHeight="1">
      <c r="A282" s="30" t="s">
        <v>14</v>
      </c>
      <c r="B282" s="39"/>
      <c r="C282" s="54">
        <f>(D282+E282+F282+G282)</f>
        <v>23631.7</v>
      </c>
      <c r="D282" s="54">
        <v>0</v>
      </c>
      <c r="E282" s="54">
        <f>L281*0.85</f>
        <v>8000.2</v>
      </c>
      <c r="F282" s="54">
        <f>M281*0.85</f>
        <v>7815.75</v>
      </c>
      <c r="G282" s="54">
        <f>N281*0.85</f>
        <v>7815.75</v>
      </c>
      <c r="H282" s="118">
        <f t="shared" si="11"/>
        <v>0</v>
      </c>
      <c r="I282" s="54">
        <v>7815.75</v>
      </c>
      <c r="J282" s="54">
        <v>23631.7</v>
      </c>
      <c r="K282" s="128"/>
      <c r="L282" s="128"/>
      <c r="M282" s="128"/>
      <c r="N282" s="129"/>
      <c r="IK282" s="53"/>
      <c r="IL282" s="53"/>
      <c r="IM282" s="53"/>
      <c r="IN282" s="53"/>
      <c r="IO282" s="53"/>
    </row>
    <row r="283" spans="1:249" s="52" customFormat="1" ht="16.5" customHeight="1">
      <c r="A283" s="30" t="s">
        <v>15</v>
      </c>
      <c r="B283" s="39"/>
      <c r="C283" s="54">
        <f>D283+E283+F283+G283</f>
        <v>59</v>
      </c>
      <c r="D283" s="54">
        <v>0</v>
      </c>
      <c r="E283" s="54">
        <f>L283</f>
        <v>20</v>
      </c>
      <c r="F283" s="54">
        <f>M283</f>
        <v>20</v>
      </c>
      <c r="G283" s="54">
        <f>N283</f>
        <v>19</v>
      </c>
      <c r="H283" s="118">
        <f t="shared" si="11"/>
        <v>0</v>
      </c>
      <c r="I283" s="54">
        <v>19</v>
      </c>
      <c r="J283" s="54">
        <v>59</v>
      </c>
      <c r="K283" s="51"/>
      <c r="L283" s="51">
        <f>60/3</f>
        <v>20</v>
      </c>
      <c r="M283" s="51">
        <f>60/3</f>
        <v>20</v>
      </c>
      <c r="N283" s="51">
        <f>60/3-1</f>
        <v>19</v>
      </c>
      <c r="IK283" s="53"/>
      <c r="IL283" s="53"/>
      <c r="IM283" s="53"/>
      <c r="IN283" s="53"/>
      <c r="IO283" s="53"/>
    </row>
    <row r="284" spans="1:249" s="52" customFormat="1" ht="16.5" customHeight="1" hidden="1">
      <c r="A284" s="30"/>
      <c r="B284" s="39"/>
      <c r="C284" s="54"/>
      <c r="D284" s="54"/>
      <c r="E284" s="54"/>
      <c r="F284" s="54"/>
      <c r="G284" s="54"/>
      <c r="H284" s="118">
        <f t="shared" si="11"/>
        <v>0</v>
      </c>
      <c r="I284" s="54"/>
      <c r="J284" s="54"/>
      <c r="K284" s="55"/>
      <c r="L284" s="56"/>
      <c r="M284" s="56"/>
      <c r="IK284" s="53"/>
      <c r="IL284" s="53"/>
      <c r="IM284" s="53"/>
      <c r="IN284" s="53"/>
      <c r="IO284" s="53"/>
    </row>
    <row r="285" spans="1:249" s="52" customFormat="1" ht="16.5" customHeight="1" hidden="1">
      <c r="A285" s="30"/>
      <c r="B285" s="39"/>
      <c r="C285" s="57">
        <f>C286+C287+C288+C290+C289</f>
        <v>27861</v>
      </c>
      <c r="D285" s="57">
        <f>D286+D287+D288+D290+D289</f>
        <v>0</v>
      </c>
      <c r="E285" s="57">
        <f>E286+E287+E288+E290+E289</f>
        <v>9432</v>
      </c>
      <c r="F285" s="57">
        <f>F286+F287+F288+F290+F289</f>
        <v>9215</v>
      </c>
      <c r="G285" s="57">
        <f>G286+G287+G288+G290+G289</f>
        <v>9214</v>
      </c>
      <c r="H285" s="118">
        <f t="shared" si="11"/>
        <v>0</v>
      </c>
      <c r="I285" s="57">
        <v>9214</v>
      </c>
      <c r="J285" s="57">
        <v>27861</v>
      </c>
      <c r="K285" s="58"/>
      <c r="L285" s="59"/>
      <c r="M285" s="59"/>
      <c r="N285" s="60"/>
      <c r="IK285" s="53"/>
      <c r="IL285" s="53"/>
      <c r="IM285" s="53"/>
      <c r="IN285" s="53"/>
      <c r="IO285" s="53"/>
    </row>
    <row r="286" spans="1:249" s="52" customFormat="1" ht="16.5" customHeight="1" hidden="1">
      <c r="A286" s="30" t="s">
        <v>16</v>
      </c>
      <c r="B286" s="39"/>
      <c r="C286" s="62">
        <f aca="true" t="shared" si="13" ref="C286:C294">D286+E286+F286+G286</f>
        <v>3614.26</v>
      </c>
      <c r="D286" s="62">
        <v>0</v>
      </c>
      <c r="E286" s="62">
        <f>L281*0.13</f>
        <v>1223.56</v>
      </c>
      <c r="F286" s="62">
        <f>M281*0.13</f>
        <v>1195.3500000000001</v>
      </c>
      <c r="G286" s="62">
        <f>N281*0.13</f>
        <v>1195.3500000000001</v>
      </c>
      <c r="H286" s="118">
        <f t="shared" si="11"/>
        <v>0</v>
      </c>
      <c r="I286" s="62">
        <v>1195.3500000000001</v>
      </c>
      <c r="J286" s="62">
        <v>3614.26</v>
      </c>
      <c r="K286" s="55"/>
      <c r="L286" s="56"/>
      <c r="M286" s="56"/>
      <c r="IK286" s="53"/>
      <c r="IL286" s="53"/>
      <c r="IM286" s="53"/>
      <c r="IN286" s="53"/>
      <c r="IO286" s="53"/>
    </row>
    <row r="287" spans="1:249" s="52" customFormat="1" ht="16.5" customHeight="1" hidden="1">
      <c r="A287" s="30" t="s">
        <v>17</v>
      </c>
      <c r="B287" s="39"/>
      <c r="C287" s="62">
        <f t="shared" si="13"/>
        <v>23438.7</v>
      </c>
      <c r="D287" s="62">
        <v>0</v>
      </c>
      <c r="E287" s="62">
        <f>L281*0.85-E288</f>
        <v>7807.2</v>
      </c>
      <c r="F287" s="62">
        <f>M281*0.85</f>
        <v>7815.75</v>
      </c>
      <c r="G287" s="62">
        <f>N281*0.85</f>
        <v>7815.75</v>
      </c>
      <c r="H287" s="118">
        <f t="shared" si="11"/>
        <v>0</v>
      </c>
      <c r="I287" s="62">
        <v>7815.75</v>
      </c>
      <c r="J287" s="62">
        <v>23438.7</v>
      </c>
      <c r="K287" s="55"/>
      <c r="L287" s="56"/>
      <c r="M287" s="56"/>
      <c r="IK287" s="53"/>
      <c r="IL287" s="53"/>
      <c r="IM287" s="53"/>
      <c r="IN287" s="53"/>
      <c r="IO287" s="53"/>
    </row>
    <row r="288" spans="1:249" s="52" customFormat="1" ht="16.5" customHeight="1" hidden="1">
      <c r="A288" s="30" t="s">
        <v>18</v>
      </c>
      <c r="B288" s="39"/>
      <c r="C288" s="62">
        <f t="shared" si="13"/>
        <v>193</v>
      </c>
      <c r="D288" s="62">
        <v>0</v>
      </c>
      <c r="E288" s="62">
        <v>193</v>
      </c>
      <c r="F288" s="62">
        <v>0</v>
      </c>
      <c r="G288" s="62">
        <v>0</v>
      </c>
      <c r="H288" s="118">
        <f t="shared" si="11"/>
        <v>0</v>
      </c>
      <c r="I288" s="62">
        <v>0</v>
      </c>
      <c r="J288" s="62">
        <v>193</v>
      </c>
      <c r="K288" s="55"/>
      <c r="L288" s="56"/>
      <c r="M288" s="56"/>
      <c r="IK288" s="53"/>
      <c r="IL288" s="53"/>
      <c r="IM288" s="53"/>
      <c r="IN288" s="53"/>
      <c r="IO288" s="53"/>
    </row>
    <row r="289" spans="1:249" s="60" customFormat="1" ht="16.5" customHeight="1" hidden="1">
      <c r="A289" s="30" t="s">
        <v>28</v>
      </c>
      <c r="B289" s="45"/>
      <c r="C289" s="62">
        <f t="shared" si="13"/>
        <v>0</v>
      </c>
      <c r="D289" s="62">
        <v>0</v>
      </c>
      <c r="E289" s="62">
        <v>0</v>
      </c>
      <c r="F289" s="62">
        <v>0</v>
      </c>
      <c r="G289" s="62">
        <v>0</v>
      </c>
      <c r="H289" s="118">
        <f t="shared" si="11"/>
        <v>0</v>
      </c>
      <c r="I289" s="62">
        <v>0</v>
      </c>
      <c r="J289" s="62">
        <v>0</v>
      </c>
      <c r="K289" s="55"/>
      <c r="L289" s="56"/>
      <c r="M289" s="56"/>
      <c r="N289" s="52"/>
      <c r="IK289" s="61"/>
      <c r="IL289" s="61"/>
      <c r="IM289" s="61"/>
      <c r="IN289" s="61"/>
      <c r="IO289" s="61"/>
    </row>
    <row r="290" spans="1:249" s="65" customFormat="1" ht="31.5" customHeight="1" hidden="1">
      <c r="A290" s="34" t="s">
        <v>19</v>
      </c>
      <c r="B290" s="63"/>
      <c r="C290" s="64">
        <f t="shared" si="13"/>
        <v>615.04</v>
      </c>
      <c r="D290" s="62">
        <f>K281*2/100+K283</f>
        <v>0</v>
      </c>
      <c r="E290" s="62">
        <f>L281*2/100+L283</f>
        <v>208.24</v>
      </c>
      <c r="F290" s="62">
        <f>M281*2/100+M283</f>
        <v>203.9</v>
      </c>
      <c r="G290" s="62">
        <f>N281*2/100+N283</f>
        <v>202.9</v>
      </c>
      <c r="H290" s="118">
        <f t="shared" si="11"/>
        <v>0</v>
      </c>
      <c r="I290" s="62">
        <v>202.9</v>
      </c>
      <c r="J290" s="64">
        <v>615.04</v>
      </c>
      <c r="K290" s="55"/>
      <c r="L290" s="55"/>
      <c r="M290" s="55"/>
      <c r="IK290" s="66"/>
      <c r="IL290" s="66"/>
      <c r="IM290" s="66"/>
      <c r="IN290" s="66"/>
      <c r="IO290" s="66"/>
    </row>
    <row r="291" spans="1:248" s="52" customFormat="1" ht="36" customHeight="1">
      <c r="A291" s="21" t="s">
        <v>71</v>
      </c>
      <c r="B291" s="45" t="s">
        <v>75</v>
      </c>
      <c r="C291" s="23">
        <f t="shared" si="13"/>
        <v>11353.999999999998</v>
      </c>
      <c r="D291" s="23">
        <f>D292+D293+D294</f>
        <v>0</v>
      </c>
      <c r="E291" s="23">
        <f>E292+E293+E294</f>
        <v>1403.9999999999998</v>
      </c>
      <c r="F291" s="23">
        <f>F292+F293+F294</f>
        <v>48</v>
      </c>
      <c r="G291" s="23">
        <f>G292+G293+G294</f>
        <v>9901.999999999998</v>
      </c>
      <c r="H291" s="118">
        <f t="shared" si="11"/>
        <v>0</v>
      </c>
      <c r="I291" s="23">
        <v>9901.999999999998</v>
      </c>
      <c r="J291" s="23">
        <v>11353.999999999998</v>
      </c>
      <c r="K291" s="67">
        <f>K292+K294</f>
        <v>0</v>
      </c>
      <c r="L291" s="67">
        <f>L292+L294</f>
        <v>1404</v>
      </c>
      <c r="M291" s="67">
        <f>M292+M294</f>
        <v>48</v>
      </c>
      <c r="N291" s="67">
        <f>N292+N294</f>
        <v>9902</v>
      </c>
      <c r="IJ291" s="53"/>
      <c r="IK291" s="53"/>
      <c r="IL291" s="53"/>
      <c r="IM291" s="53"/>
      <c r="IN291" s="53"/>
    </row>
    <row r="292" spans="1:249" s="52" customFormat="1" ht="16.5" customHeight="1">
      <c r="A292" s="26" t="s">
        <v>13</v>
      </c>
      <c r="B292" s="39"/>
      <c r="C292" s="54">
        <f t="shared" si="13"/>
        <v>1703.1</v>
      </c>
      <c r="D292" s="54">
        <f>K292*0.15</f>
        <v>0</v>
      </c>
      <c r="E292" s="54">
        <f>L292*0.15</f>
        <v>210.6</v>
      </c>
      <c r="F292" s="54">
        <f>M292*0.15</f>
        <v>7.199999999999999</v>
      </c>
      <c r="G292" s="54">
        <f>N292*0.15</f>
        <v>1485.3</v>
      </c>
      <c r="H292" s="118">
        <f t="shared" si="11"/>
        <v>0</v>
      </c>
      <c r="I292" s="54">
        <v>1485.3</v>
      </c>
      <c r="J292" s="54">
        <v>1703.1</v>
      </c>
      <c r="K292" s="126">
        <v>0</v>
      </c>
      <c r="L292" s="126">
        <f>18+1386</f>
        <v>1404</v>
      </c>
      <c r="M292" s="127">
        <f>48</f>
        <v>48</v>
      </c>
      <c r="N292" s="127">
        <f>9528+12+26+107+229</f>
        <v>9902</v>
      </c>
      <c r="IK292" s="53"/>
      <c r="IL292" s="53"/>
      <c r="IM292" s="53"/>
      <c r="IN292" s="53"/>
      <c r="IO292" s="53"/>
    </row>
    <row r="293" spans="1:249" s="52" customFormat="1" ht="16.5" customHeight="1">
      <c r="A293" s="30" t="s">
        <v>14</v>
      </c>
      <c r="B293" s="39"/>
      <c r="C293" s="54">
        <f t="shared" si="13"/>
        <v>9650.899999999998</v>
      </c>
      <c r="D293" s="54">
        <f>K292*0.85</f>
        <v>0</v>
      </c>
      <c r="E293" s="54">
        <f>L292*0.85</f>
        <v>1193.3999999999999</v>
      </c>
      <c r="F293" s="54">
        <f>M292*0.85</f>
        <v>40.8</v>
      </c>
      <c r="G293" s="54">
        <f>N292*0.85</f>
        <v>8416.699999999999</v>
      </c>
      <c r="H293" s="118">
        <f t="shared" si="11"/>
        <v>0</v>
      </c>
      <c r="I293" s="54">
        <v>8416.699999999999</v>
      </c>
      <c r="J293" s="54">
        <v>9650.899999999998</v>
      </c>
      <c r="K293" s="126"/>
      <c r="L293" s="126"/>
      <c r="M293" s="126"/>
      <c r="N293" s="127"/>
      <c r="IK293" s="53"/>
      <c r="IL293" s="53"/>
      <c r="IM293" s="53"/>
      <c r="IN293" s="53"/>
      <c r="IO293" s="53"/>
    </row>
    <row r="294" spans="1:249" s="52" customFormat="1" ht="18" customHeight="1">
      <c r="A294" s="30" t="s">
        <v>15</v>
      </c>
      <c r="B294" s="39"/>
      <c r="C294" s="54">
        <f t="shared" si="13"/>
        <v>0</v>
      </c>
      <c r="D294" s="54">
        <f>K294</f>
        <v>0</v>
      </c>
      <c r="E294" s="54">
        <f>L294</f>
        <v>0</v>
      </c>
      <c r="F294" s="54">
        <f>M294</f>
        <v>0</v>
      </c>
      <c r="G294" s="54">
        <f>N294</f>
        <v>0</v>
      </c>
      <c r="H294" s="118">
        <f t="shared" si="11"/>
        <v>0</v>
      </c>
      <c r="I294" s="54">
        <v>0</v>
      </c>
      <c r="J294" s="54">
        <v>0</v>
      </c>
      <c r="K294" s="67"/>
      <c r="L294" s="67"/>
      <c r="M294" s="67"/>
      <c r="N294" s="68"/>
      <c r="IK294" s="53"/>
      <c r="IL294" s="53"/>
      <c r="IM294" s="53"/>
      <c r="IN294" s="53"/>
      <c r="IO294" s="53"/>
    </row>
    <row r="295" spans="1:249" s="52" customFormat="1" ht="16.5" customHeight="1" hidden="1">
      <c r="A295" s="30"/>
      <c r="B295" s="39"/>
      <c r="C295" s="54"/>
      <c r="D295" s="54"/>
      <c r="E295" s="54"/>
      <c r="F295" s="54"/>
      <c r="G295" s="54"/>
      <c r="H295" s="118">
        <f t="shared" si="11"/>
        <v>0</v>
      </c>
      <c r="I295" s="54"/>
      <c r="J295" s="54"/>
      <c r="K295" s="55"/>
      <c r="L295" s="56"/>
      <c r="M295" s="56"/>
      <c r="IK295" s="53"/>
      <c r="IL295" s="53"/>
      <c r="IM295" s="53"/>
      <c r="IN295" s="53"/>
      <c r="IO295" s="53"/>
    </row>
    <row r="296" spans="1:249" s="60" customFormat="1" ht="16.5" customHeight="1" hidden="1">
      <c r="A296" s="31"/>
      <c r="B296" s="45"/>
      <c r="C296" s="57">
        <f>C297+C298+C299+C301+C300</f>
        <v>11353.999999999998</v>
      </c>
      <c r="D296" s="57">
        <f>D297+D298+D299+D301+D300</f>
        <v>0</v>
      </c>
      <c r="E296" s="57">
        <f>E297+E298+E299+E301+E300</f>
        <v>1403.9999999999998</v>
      </c>
      <c r="F296" s="57">
        <f>F297+F298+F299+F301+F300</f>
        <v>48</v>
      </c>
      <c r="G296" s="57">
        <f>G297+G298+G299+G301+G300</f>
        <v>9902</v>
      </c>
      <c r="H296" s="118">
        <f t="shared" si="11"/>
        <v>0</v>
      </c>
      <c r="I296" s="57">
        <v>9902</v>
      </c>
      <c r="J296" s="57">
        <v>11353.999999999998</v>
      </c>
      <c r="K296" s="58"/>
      <c r="L296" s="59"/>
      <c r="M296" s="59"/>
      <c r="IK296" s="61"/>
      <c r="IL296" s="61"/>
      <c r="IM296" s="61"/>
      <c r="IN296" s="61"/>
      <c r="IO296" s="61"/>
    </row>
    <row r="297" spans="1:249" s="60" customFormat="1" ht="16.5" customHeight="1" hidden="1">
      <c r="A297" s="30" t="s">
        <v>16</v>
      </c>
      <c r="B297" s="45"/>
      <c r="C297" s="62">
        <f aca="true" t="shared" si="14" ref="C297:C305">D297+E297+F297+G297</f>
        <v>1476.02</v>
      </c>
      <c r="D297" s="62">
        <f>K292*0.13</f>
        <v>0</v>
      </c>
      <c r="E297" s="62">
        <f>L292*0.13</f>
        <v>182.52</v>
      </c>
      <c r="F297" s="62">
        <f>M292*0.13</f>
        <v>6.24</v>
      </c>
      <c r="G297" s="62">
        <f>N292*0.13</f>
        <v>1287.26</v>
      </c>
      <c r="H297" s="118">
        <f t="shared" si="11"/>
        <v>0</v>
      </c>
      <c r="I297" s="62">
        <v>1287.26</v>
      </c>
      <c r="J297" s="62">
        <v>1476.02</v>
      </c>
      <c r="K297" s="55"/>
      <c r="L297" s="56"/>
      <c r="M297" s="56"/>
      <c r="N297" s="52"/>
      <c r="IK297" s="61"/>
      <c r="IL297" s="61"/>
      <c r="IM297" s="61"/>
      <c r="IN297" s="61"/>
      <c r="IO297" s="61"/>
    </row>
    <row r="298" spans="1:249" s="60" customFormat="1" ht="16.5" customHeight="1" hidden="1">
      <c r="A298" s="30" t="s">
        <v>17</v>
      </c>
      <c r="B298" s="45"/>
      <c r="C298" s="62">
        <f t="shared" si="14"/>
        <v>9650.899999999998</v>
      </c>
      <c r="D298" s="62">
        <f>K292*0.85</f>
        <v>0</v>
      </c>
      <c r="E298" s="62">
        <f>L292*0.85</f>
        <v>1193.3999999999999</v>
      </c>
      <c r="F298" s="62">
        <f>M292*0.85</f>
        <v>40.8</v>
      </c>
      <c r="G298" s="62">
        <f>N292*0.85</f>
        <v>8416.699999999999</v>
      </c>
      <c r="H298" s="118">
        <f t="shared" si="11"/>
        <v>0</v>
      </c>
      <c r="I298" s="62">
        <v>8416.699999999999</v>
      </c>
      <c r="J298" s="62">
        <v>9650.899999999998</v>
      </c>
      <c r="K298" s="55"/>
      <c r="L298" s="56"/>
      <c r="M298" s="56"/>
      <c r="N298" s="52"/>
      <c r="IK298" s="61"/>
      <c r="IL298" s="61"/>
      <c r="IM298" s="61"/>
      <c r="IN298" s="61"/>
      <c r="IO298" s="61"/>
    </row>
    <row r="299" spans="1:249" s="60" customFormat="1" ht="16.5" customHeight="1" hidden="1">
      <c r="A299" s="30" t="s">
        <v>18</v>
      </c>
      <c r="B299" s="45"/>
      <c r="C299" s="62">
        <f t="shared" si="14"/>
        <v>0</v>
      </c>
      <c r="D299" s="62">
        <v>0</v>
      </c>
      <c r="E299" s="62">
        <v>0</v>
      </c>
      <c r="F299" s="62">
        <v>0</v>
      </c>
      <c r="G299" s="62">
        <v>0</v>
      </c>
      <c r="H299" s="118">
        <f t="shared" si="11"/>
        <v>0</v>
      </c>
      <c r="I299" s="62">
        <v>0</v>
      </c>
      <c r="J299" s="62">
        <v>0</v>
      </c>
      <c r="K299" s="55"/>
      <c r="L299" s="56"/>
      <c r="M299" s="56"/>
      <c r="N299" s="52"/>
      <c r="IK299" s="61"/>
      <c r="IL299" s="61"/>
      <c r="IM299" s="61"/>
      <c r="IN299" s="61"/>
      <c r="IO299" s="61"/>
    </row>
    <row r="300" spans="1:249" s="60" customFormat="1" ht="16.5" customHeight="1" hidden="1">
      <c r="A300" s="30" t="s">
        <v>28</v>
      </c>
      <c r="B300" s="45"/>
      <c r="C300" s="62">
        <f t="shared" si="14"/>
        <v>0</v>
      </c>
      <c r="D300" s="62">
        <v>0</v>
      </c>
      <c r="E300" s="62">
        <v>0</v>
      </c>
      <c r="F300" s="62">
        <v>0</v>
      </c>
      <c r="G300" s="62">
        <v>0</v>
      </c>
      <c r="H300" s="118">
        <f t="shared" si="11"/>
        <v>0</v>
      </c>
      <c r="I300" s="62">
        <v>0</v>
      </c>
      <c r="J300" s="62">
        <v>0</v>
      </c>
      <c r="K300" s="55"/>
      <c r="L300" s="56"/>
      <c r="M300" s="56"/>
      <c r="N300" s="52"/>
      <c r="IK300" s="61"/>
      <c r="IL300" s="61"/>
      <c r="IM300" s="61"/>
      <c r="IN300" s="61"/>
      <c r="IO300" s="61"/>
    </row>
    <row r="301" spans="1:249" s="65" customFormat="1" ht="18.75" customHeight="1" hidden="1">
      <c r="A301" s="34" t="s">
        <v>19</v>
      </c>
      <c r="B301" s="63"/>
      <c r="C301" s="64">
        <f t="shared" si="14"/>
        <v>227.07999999999998</v>
      </c>
      <c r="D301" s="62">
        <f>K292*2/100+K294</f>
        <v>0</v>
      </c>
      <c r="E301" s="62">
        <f>L292*2/100+L294</f>
        <v>28.08</v>
      </c>
      <c r="F301" s="62">
        <f>M292*2/100+M294</f>
        <v>0.96</v>
      </c>
      <c r="G301" s="62">
        <f>N292*2/100+N294</f>
        <v>198.04</v>
      </c>
      <c r="H301" s="118">
        <f t="shared" si="11"/>
        <v>0</v>
      </c>
      <c r="I301" s="62">
        <v>198.04</v>
      </c>
      <c r="J301" s="64">
        <v>227.07999999999998</v>
      </c>
      <c r="K301" s="55"/>
      <c r="L301" s="55"/>
      <c r="M301" s="55"/>
      <c r="IK301" s="66"/>
      <c r="IL301" s="66"/>
      <c r="IM301" s="66"/>
      <c r="IN301" s="66"/>
      <c r="IO301" s="66"/>
    </row>
    <row r="302" spans="1:248" s="52" customFormat="1" ht="40.5" customHeight="1">
      <c r="A302" s="21" t="s">
        <v>71</v>
      </c>
      <c r="B302" s="45" t="s">
        <v>76</v>
      </c>
      <c r="C302" s="23">
        <f t="shared" si="14"/>
        <v>55835</v>
      </c>
      <c r="D302" s="23">
        <f>D303+D304+D305</f>
        <v>55835</v>
      </c>
      <c r="E302" s="23">
        <f>E303+E304+E305</f>
        <v>0</v>
      </c>
      <c r="F302" s="23">
        <f>F303+F304+F305</f>
        <v>0</v>
      </c>
      <c r="G302" s="23">
        <f>G303+G304+G305</f>
        <v>0</v>
      </c>
      <c r="H302" s="118">
        <f t="shared" si="11"/>
        <v>0</v>
      </c>
      <c r="I302" s="23">
        <v>0</v>
      </c>
      <c r="J302" s="23">
        <v>55835</v>
      </c>
      <c r="K302" s="67">
        <f>K303+K305</f>
        <v>55835</v>
      </c>
      <c r="L302" s="67">
        <f>L303+L305</f>
        <v>0</v>
      </c>
      <c r="M302" s="67">
        <f>M303+M305</f>
        <v>0</v>
      </c>
      <c r="N302" s="67">
        <f>N303+N305</f>
        <v>0</v>
      </c>
      <c r="IJ302" s="53"/>
      <c r="IK302" s="53"/>
      <c r="IL302" s="53"/>
      <c r="IM302" s="53"/>
      <c r="IN302" s="53"/>
    </row>
    <row r="303" spans="1:249" s="52" customFormat="1" ht="16.5" customHeight="1">
      <c r="A303" s="26" t="s">
        <v>13</v>
      </c>
      <c r="B303" s="39"/>
      <c r="C303" s="54">
        <f t="shared" si="14"/>
        <v>7038</v>
      </c>
      <c r="D303" s="54">
        <f>K303*0.15</f>
        <v>7038</v>
      </c>
      <c r="E303" s="54">
        <f>L303*0.15</f>
        <v>0</v>
      </c>
      <c r="F303" s="54">
        <f>M303*0.15</f>
        <v>0</v>
      </c>
      <c r="G303" s="54">
        <f>N303*0.15</f>
        <v>0</v>
      </c>
      <c r="H303" s="118">
        <f t="shared" si="11"/>
        <v>0</v>
      </c>
      <c r="I303" s="54">
        <v>0</v>
      </c>
      <c r="J303" s="54">
        <v>7038</v>
      </c>
      <c r="K303" s="126">
        <v>46920</v>
      </c>
      <c r="L303" s="126">
        <v>0</v>
      </c>
      <c r="M303" s="127">
        <v>0</v>
      </c>
      <c r="N303" s="127">
        <v>0</v>
      </c>
      <c r="IK303" s="53"/>
      <c r="IL303" s="53"/>
      <c r="IM303" s="53"/>
      <c r="IN303" s="53"/>
      <c r="IO303" s="53"/>
    </row>
    <row r="304" spans="1:249" s="52" customFormat="1" ht="16.5" customHeight="1">
      <c r="A304" s="30" t="s">
        <v>14</v>
      </c>
      <c r="B304" s="39"/>
      <c r="C304" s="54">
        <f t="shared" si="14"/>
        <v>39882</v>
      </c>
      <c r="D304" s="54">
        <f>K303*0.85</f>
        <v>39882</v>
      </c>
      <c r="E304" s="54">
        <f>L303*0.85</f>
        <v>0</v>
      </c>
      <c r="F304" s="54">
        <f>M303*0.85</f>
        <v>0</v>
      </c>
      <c r="G304" s="54">
        <f>N303*0.85</f>
        <v>0</v>
      </c>
      <c r="H304" s="118">
        <f t="shared" si="11"/>
        <v>0</v>
      </c>
      <c r="I304" s="54">
        <v>0</v>
      </c>
      <c r="J304" s="54">
        <v>39882</v>
      </c>
      <c r="K304" s="126"/>
      <c r="L304" s="126"/>
      <c r="M304" s="126"/>
      <c r="N304" s="127"/>
      <c r="IK304" s="53"/>
      <c r="IL304" s="53"/>
      <c r="IM304" s="53"/>
      <c r="IN304" s="53"/>
      <c r="IO304" s="53"/>
    </row>
    <row r="305" spans="1:249" s="52" customFormat="1" ht="22.5" customHeight="1">
      <c r="A305" s="30" t="s">
        <v>15</v>
      </c>
      <c r="B305" s="39"/>
      <c r="C305" s="54">
        <f t="shared" si="14"/>
        <v>8915</v>
      </c>
      <c r="D305" s="54">
        <f>K305</f>
        <v>8915</v>
      </c>
      <c r="E305" s="54">
        <f>L305</f>
        <v>0</v>
      </c>
      <c r="F305" s="54">
        <f>M305</f>
        <v>0</v>
      </c>
      <c r="G305" s="54">
        <f>N305</f>
        <v>0</v>
      </c>
      <c r="H305" s="118">
        <f t="shared" si="11"/>
        <v>0</v>
      </c>
      <c r="I305" s="54">
        <v>0</v>
      </c>
      <c r="J305" s="54">
        <v>8915</v>
      </c>
      <c r="K305" s="67">
        <v>8915</v>
      </c>
      <c r="L305" s="67">
        <v>0</v>
      </c>
      <c r="M305" s="67">
        <v>0</v>
      </c>
      <c r="N305" s="68">
        <v>0</v>
      </c>
      <c r="IK305" s="53"/>
      <c r="IL305" s="53"/>
      <c r="IM305" s="53"/>
      <c r="IN305" s="53"/>
      <c r="IO305" s="53"/>
    </row>
    <row r="306" spans="1:249" s="52" customFormat="1" ht="16.5" customHeight="1" hidden="1">
      <c r="A306" s="30"/>
      <c r="B306" s="39"/>
      <c r="C306" s="54"/>
      <c r="D306" s="54"/>
      <c r="E306" s="54"/>
      <c r="F306" s="54"/>
      <c r="G306" s="54"/>
      <c r="H306" s="118">
        <f t="shared" si="11"/>
        <v>0</v>
      </c>
      <c r="I306" s="54"/>
      <c r="J306" s="54"/>
      <c r="K306" s="69"/>
      <c r="L306" s="70"/>
      <c r="M306" s="70"/>
      <c r="N306" s="68"/>
      <c r="IK306" s="53"/>
      <c r="IL306" s="53"/>
      <c r="IM306" s="53"/>
      <c r="IN306" s="53"/>
      <c r="IO306" s="53"/>
    </row>
    <row r="307" spans="1:249" s="60" customFormat="1" ht="16.5" customHeight="1" hidden="1">
      <c r="A307" s="31"/>
      <c r="B307" s="45"/>
      <c r="C307" s="57">
        <f>C308+C309+C310+C312+C311</f>
        <v>55835</v>
      </c>
      <c r="D307" s="57">
        <f>D308+D309+D310+D312+D311</f>
        <v>55835</v>
      </c>
      <c r="E307" s="57">
        <f>E308+E309+E310+E312+E311</f>
        <v>0</v>
      </c>
      <c r="F307" s="57">
        <f>F308+F309+F310+F312+F311</f>
        <v>0</v>
      </c>
      <c r="G307" s="57">
        <f>G308+G309+G310+G312+G311</f>
        <v>0</v>
      </c>
      <c r="H307" s="118">
        <f t="shared" si="11"/>
        <v>0</v>
      </c>
      <c r="I307" s="57">
        <v>0</v>
      </c>
      <c r="J307" s="57">
        <v>55835</v>
      </c>
      <c r="K307" s="58"/>
      <c r="L307" s="59"/>
      <c r="M307" s="59"/>
      <c r="IK307" s="61"/>
      <c r="IL307" s="61"/>
      <c r="IM307" s="61"/>
      <c r="IN307" s="61"/>
      <c r="IO307" s="61"/>
    </row>
    <row r="308" spans="1:249" s="52" customFormat="1" ht="16.5" customHeight="1" hidden="1">
      <c r="A308" s="30" t="s">
        <v>16</v>
      </c>
      <c r="B308" s="39"/>
      <c r="C308" s="62">
        <f aca="true" t="shared" si="15" ref="C308:C316">D308+E308+F308+G308</f>
        <v>15014.4</v>
      </c>
      <c r="D308" s="62">
        <f>K303*0.13+K305-0.2</f>
        <v>15014.4</v>
      </c>
      <c r="E308" s="62">
        <f>L303*0.13+L303*0.19</f>
        <v>0</v>
      </c>
      <c r="F308" s="62">
        <f>M303*0.13+M303*0.19</f>
        <v>0</v>
      </c>
      <c r="G308" s="62">
        <f>N303*0.13</f>
        <v>0</v>
      </c>
      <c r="H308" s="118">
        <f t="shared" si="11"/>
        <v>0</v>
      </c>
      <c r="I308" s="62">
        <v>0</v>
      </c>
      <c r="J308" s="62">
        <v>15014.4</v>
      </c>
      <c r="K308" s="55"/>
      <c r="L308" s="56"/>
      <c r="M308" s="56"/>
      <c r="IK308" s="53"/>
      <c r="IL308" s="53"/>
      <c r="IM308" s="53"/>
      <c r="IN308" s="53"/>
      <c r="IO308" s="53"/>
    </row>
    <row r="309" spans="1:249" s="52" customFormat="1" ht="16.5" customHeight="1" hidden="1">
      <c r="A309" s="30" t="s">
        <v>17</v>
      </c>
      <c r="B309" s="39"/>
      <c r="C309" s="62">
        <f t="shared" si="15"/>
        <v>39882</v>
      </c>
      <c r="D309" s="62">
        <f>K303*0.85</f>
        <v>39882</v>
      </c>
      <c r="E309" s="62">
        <f>L303*0.85</f>
        <v>0</v>
      </c>
      <c r="F309" s="62">
        <f>M303*0.85</f>
        <v>0</v>
      </c>
      <c r="G309" s="62">
        <f>N303*0.85</f>
        <v>0</v>
      </c>
      <c r="H309" s="118">
        <f t="shared" si="11"/>
        <v>0</v>
      </c>
      <c r="I309" s="62">
        <v>0</v>
      </c>
      <c r="J309" s="62">
        <v>39882</v>
      </c>
      <c r="K309" s="55"/>
      <c r="L309" s="56"/>
      <c r="M309" s="56"/>
      <c r="IK309" s="53"/>
      <c r="IL309" s="53"/>
      <c r="IM309" s="53"/>
      <c r="IN309" s="53"/>
      <c r="IO309" s="53"/>
    </row>
    <row r="310" spans="1:249" s="52" customFormat="1" ht="16.5" customHeight="1" hidden="1">
      <c r="A310" s="30" t="s">
        <v>18</v>
      </c>
      <c r="B310" s="39"/>
      <c r="C310" s="62">
        <f t="shared" si="15"/>
        <v>0</v>
      </c>
      <c r="D310" s="62"/>
      <c r="E310" s="62"/>
      <c r="F310" s="62"/>
      <c r="G310" s="62"/>
      <c r="H310" s="118">
        <f t="shared" si="11"/>
        <v>0</v>
      </c>
      <c r="I310" s="62"/>
      <c r="J310" s="62">
        <v>0</v>
      </c>
      <c r="K310" s="55"/>
      <c r="L310" s="56"/>
      <c r="M310" s="56"/>
      <c r="IK310" s="53"/>
      <c r="IL310" s="53"/>
      <c r="IM310" s="53"/>
      <c r="IN310" s="53"/>
      <c r="IO310" s="53"/>
    </row>
    <row r="311" spans="1:249" s="52" customFormat="1" ht="16.5" customHeight="1" hidden="1">
      <c r="A311" s="30" t="s">
        <v>28</v>
      </c>
      <c r="B311" s="39"/>
      <c r="C311" s="62">
        <f t="shared" si="15"/>
        <v>0</v>
      </c>
      <c r="D311" s="62"/>
      <c r="E311" s="62"/>
      <c r="F311" s="62"/>
      <c r="G311" s="62">
        <v>0</v>
      </c>
      <c r="H311" s="118">
        <f t="shared" si="11"/>
        <v>0</v>
      </c>
      <c r="I311" s="62">
        <v>0</v>
      </c>
      <c r="J311" s="62">
        <v>0</v>
      </c>
      <c r="K311" s="55"/>
      <c r="L311" s="56"/>
      <c r="M311" s="56"/>
      <c r="IK311" s="53"/>
      <c r="IL311" s="53"/>
      <c r="IM311" s="53"/>
      <c r="IN311" s="53"/>
      <c r="IO311" s="53"/>
    </row>
    <row r="312" spans="1:249" s="65" customFormat="1" ht="24.75" customHeight="1" hidden="1">
      <c r="A312" s="34" t="s">
        <v>19</v>
      </c>
      <c r="B312" s="63"/>
      <c r="C312" s="64">
        <f t="shared" si="15"/>
        <v>938.6</v>
      </c>
      <c r="D312" s="62">
        <f>K303*2/100+0.2</f>
        <v>938.6</v>
      </c>
      <c r="E312" s="62">
        <f>L303*2/100</f>
        <v>0</v>
      </c>
      <c r="F312" s="62">
        <f>M303*2/100</f>
        <v>0</v>
      </c>
      <c r="G312" s="62">
        <f>N303*2/100+N305</f>
        <v>0</v>
      </c>
      <c r="H312" s="118">
        <f t="shared" si="11"/>
        <v>0</v>
      </c>
      <c r="I312" s="62">
        <v>0</v>
      </c>
      <c r="J312" s="64">
        <v>938.6</v>
      </c>
      <c r="K312" s="55"/>
      <c r="L312" s="55"/>
      <c r="M312" s="55"/>
      <c r="IK312" s="66"/>
      <c r="IL312" s="66"/>
      <c r="IM312" s="66"/>
      <c r="IN312" s="66"/>
      <c r="IO312" s="66"/>
    </row>
    <row r="313" spans="1:248" s="52" customFormat="1" ht="105.75" customHeight="1">
      <c r="A313" s="82" t="s">
        <v>71</v>
      </c>
      <c r="B313" s="45" t="s">
        <v>77</v>
      </c>
      <c r="C313" s="23">
        <f t="shared" si="15"/>
        <v>6800</v>
      </c>
      <c r="D313" s="23">
        <f>D314+D315+D316</f>
        <v>0</v>
      </c>
      <c r="E313" s="23">
        <f>E314+E315+E316</f>
        <v>3400</v>
      </c>
      <c r="F313" s="23">
        <f>F314+F315+F316</f>
        <v>3400</v>
      </c>
      <c r="G313" s="23">
        <f>G314+G315+G316</f>
        <v>0</v>
      </c>
      <c r="H313" s="118">
        <f t="shared" si="11"/>
        <v>0</v>
      </c>
      <c r="I313" s="23">
        <v>0</v>
      </c>
      <c r="J313" s="23">
        <v>6800</v>
      </c>
      <c r="K313" s="67">
        <f>K314+K316</f>
        <v>0</v>
      </c>
      <c r="L313" s="67">
        <f>L314+L316</f>
        <v>3400</v>
      </c>
      <c r="M313" s="67">
        <f>M314+M316</f>
        <v>3400</v>
      </c>
      <c r="N313" s="67">
        <f>N314+N316</f>
        <v>0</v>
      </c>
      <c r="O313" s="60"/>
      <c r="P313" s="60"/>
      <c r="IJ313" s="53"/>
      <c r="IK313" s="53"/>
      <c r="IL313" s="53"/>
      <c r="IM313" s="53"/>
      <c r="IN313" s="53"/>
    </row>
    <row r="314" spans="1:249" s="52" customFormat="1" ht="16.5" customHeight="1">
      <c r="A314" s="26" t="s">
        <v>13</v>
      </c>
      <c r="B314" s="39"/>
      <c r="C314" s="54">
        <f t="shared" si="15"/>
        <v>1020</v>
      </c>
      <c r="D314" s="54">
        <f>K314*0.15</f>
        <v>0</v>
      </c>
      <c r="E314" s="54">
        <f>L314*0.15</f>
        <v>510</v>
      </c>
      <c r="F314" s="62">
        <f>M314*0.15</f>
        <v>510</v>
      </c>
      <c r="G314" s="54">
        <f>N314*0.15</f>
        <v>0</v>
      </c>
      <c r="H314" s="118">
        <f t="shared" si="11"/>
        <v>0</v>
      </c>
      <c r="I314" s="54">
        <v>0</v>
      </c>
      <c r="J314" s="54">
        <v>1020</v>
      </c>
      <c r="K314" s="126">
        <v>0</v>
      </c>
      <c r="L314" s="126">
        <f>6800/2</f>
        <v>3400</v>
      </c>
      <c r="M314" s="126">
        <f>6800/2</f>
        <v>3400</v>
      </c>
      <c r="N314" s="127">
        <v>0</v>
      </c>
      <c r="IK314" s="53"/>
      <c r="IL314" s="53"/>
      <c r="IM314" s="53"/>
      <c r="IN314" s="53"/>
      <c r="IO314" s="53"/>
    </row>
    <row r="315" spans="1:249" s="52" customFormat="1" ht="16.5" customHeight="1">
      <c r="A315" s="30" t="s">
        <v>14</v>
      </c>
      <c r="B315" s="39"/>
      <c r="C315" s="54">
        <f t="shared" si="15"/>
        <v>5780</v>
      </c>
      <c r="D315" s="54">
        <f>K314*0.85</f>
        <v>0</v>
      </c>
      <c r="E315" s="62">
        <f>L314*0.85</f>
        <v>2890</v>
      </c>
      <c r="F315" s="62">
        <f>M314*0.85</f>
        <v>2890</v>
      </c>
      <c r="G315" s="54">
        <f>N314*0.85</f>
        <v>0</v>
      </c>
      <c r="H315" s="118">
        <f t="shared" si="11"/>
        <v>0</v>
      </c>
      <c r="I315" s="54">
        <v>0</v>
      </c>
      <c r="J315" s="54">
        <v>5780</v>
      </c>
      <c r="K315" s="126"/>
      <c r="L315" s="126"/>
      <c r="M315" s="126"/>
      <c r="N315" s="127"/>
      <c r="IK315" s="53"/>
      <c r="IL315" s="53"/>
      <c r="IM315" s="53"/>
      <c r="IN315" s="53"/>
      <c r="IO315" s="53"/>
    </row>
    <row r="316" spans="1:249" s="52" customFormat="1" ht="16.5" customHeight="1">
      <c r="A316" s="30" t="s">
        <v>15</v>
      </c>
      <c r="B316" s="39"/>
      <c r="C316" s="54">
        <f t="shared" si="15"/>
        <v>0</v>
      </c>
      <c r="D316" s="54">
        <f>K316</f>
        <v>0</v>
      </c>
      <c r="E316" s="54">
        <f>L316</f>
        <v>0</v>
      </c>
      <c r="F316" s="54">
        <f>M316</f>
        <v>0</v>
      </c>
      <c r="G316" s="54">
        <f>N316</f>
        <v>0</v>
      </c>
      <c r="H316" s="118">
        <f t="shared" si="11"/>
        <v>0</v>
      </c>
      <c r="I316" s="54">
        <v>0</v>
      </c>
      <c r="J316" s="54">
        <v>0</v>
      </c>
      <c r="K316" s="67">
        <v>0</v>
      </c>
      <c r="L316" s="67">
        <v>0</v>
      </c>
      <c r="M316" s="67">
        <v>0</v>
      </c>
      <c r="N316" s="68"/>
      <c r="IK316" s="53"/>
      <c r="IL316" s="53"/>
      <c r="IM316" s="53"/>
      <c r="IN316" s="53"/>
      <c r="IO316" s="53"/>
    </row>
    <row r="317" spans="1:249" s="52" customFormat="1" ht="16.5" customHeight="1" hidden="1">
      <c r="A317" s="30"/>
      <c r="B317" s="39"/>
      <c r="C317" s="54"/>
      <c r="D317" s="54"/>
      <c r="E317" s="54"/>
      <c r="F317" s="54"/>
      <c r="G317" s="54"/>
      <c r="H317" s="118">
        <f t="shared" si="11"/>
        <v>0</v>
      </c>
      <c r="I317" s="54"/>
      <c r="J317" s="54"/>
      <c r="K317" s="69"/>
      <c r="L317" s="70"/>
      <c r="M317" s="70"/>
      <c r="N317" s="68"/>
      <c r="IK317" s="53"/>
      <c r="IL317" s="53"/>
      <c r="IM317" s="53"/>
      <c r="IN317" s="53"/>
      <c r="IO317" s="53"/>
    </row>
    <row r="318" spans="1:249" s="52" customFormat="1" ht="16.5" customHeight="1" hidden="1">
      <c r="A318" s="30"/>
      <c r="B318" s="39"/>
      <c r="C318" s="57">
        <f>C319+C320+C321+C323+C322</f>
        <v>6800</v>
      </c>
      <c r="D318" s="57">
        <f>D319+D320+D321+D323+D322</f>
        <v>0</v>
      </c>
      <c r="E318" s="57">
        <f>E319+E320+E321+E323+E322</f>
        <v>3400</v>
      </c>
      <c r="F318" s="57">
        <f>F319+F320+F321+F323+F322</f>
        <v>3400</v>
      </c>
      <c r="G318" s="57">
        <f>G319+G320+G321+G323+G322</f>
        <v>0</v>
      </c>
      <c r="H318" s="118">
        <f t="shared" si="11"/>
        <v>0</v>
      </c>
      <c r="I318" s="57">
        <v>0</v>
      </c>
      <c r="J318" s="57">
        <v>6800</v>
      </c>
      <c r="K318" s="72"/>
      <c r="L318" s="73"/>
      <c r="M318" s="73"/>
      <c r="N318" s="74"/>
      <c r="IK318" s="53"/>
      <c r="IL318" s="53"/>
      <c r="IM318" s="53"/>
      <c r="IN318" s="53"/>
      <c r="IO318" s="53"/>
    </row>
    <row r="319" spans="1:249" s="52" customFormat="1" ht="16.5" customHeight="1" hidden="1">
      <c r="A319" s="30" t="s">
        <v>16</v>
      </c>
      <c r="B319" s="39"/>
      <c r="C319" s="62">
        <f aca="true" t="shared" si="16" ref="C319:C327">D319+E319+F319+G319</f>
        <v>884</v>
      </c>
      <c r="D319" s="62">
        <f>K314*0.13</f>
        <v>0</v>
      </c>
      <c r="E319" s="62">
        <f>L314*0.13+L316</f>
        <v>442</v>
      </c>
      <c r="F319" s="62">
        <f>M314*0.13+M316</f>
        <v>442</v>
      </c>
      <c r="G319" s="62">
        <f>N314*0.13</f>
        <v>0</v>
      </c>
      <c r="H319" s="118">
        <f t="shared" si="11"/>
        <v>0</v>
      </c>
      <c r="I319" s="62">
        <v>0</v>
      </c>
      <c r="J319" s="62">
        <v>884</v>
      </c>
      <c r="K319" s="55"/>
      <c r="L319" s="56"/>
      <c r="M319" s="56"/>
      <c r="IK319" s="53"/>
      <c r="IL319" s="53"/>
      <c r="IM319" s="53"/>
      <c r="IN319" s="53"/>
      <c r="IO319" s="53"/>
    </row>
    <row r="320" spans="1:249" s="52" customFormat="1" ht="16.5" customHeight="1" hidden="1">
      <c r="A320" s="30" t="s">
        <v>17</v>
      </c>
      <c r="B320" s="39"/>
      <c r="C320" s="62">
        <f t="shared" si="16"/>
        <v>5780</v>
      </c>
      <c r="D320" s="62">
        <f>K314*0.85</f>
        <v>0</v>
      </c>
      <c r="E320" s="62">
        <f>L314*0.85</f>
        <v>2890</v>
      </c>
      <c r="F320" s="62">
        <f>M314*0.85</f>
        <v>2890</v>
      </c>
      <c r="G320" s="62">
        <f>N314*0.85</f>
        <v>0</v>
      </c>
      <c r="H320" s="118">
        <f t="shared" si="11"/>
        <v>0</v>
      </c>
      <c r="I320" s="62">
        <v>0</v>
      </c>
      <c r="J320" s="62">
        <v>5780</v>
      </c>
      <c r="K320" s="55"/>
      <c r="L320" s="56"/>
      <c r="M320" s="56"/>
      <c r="IK320" s="53"/>
      <c r="IL320" s="53"/>
      <c r="IM320" s="53"/>
      <c r="IN320" s="53"/>
      <c r="IO320" s="53"/>
    </row>
    <row r="321" spans="1:249" s="52" customFormat="1" ht="16.5" customHeight="1" hidden="1">
      <c r="A321" s="30" t="s">
        <v>18</v>
      </c>
      <c r="B321" s="39"/>
      <c r="C321" s="62">
        <f t="shared" si="16"/>
        <v>0</v>
      </c>
      <c r="D321" s="62">
        <v>0</v>
      </c>
      <c r="E321" s="62">
        <v>0</v>
      </c>
      <c r="F321" s="62">
        <v>0</v>
      </c>
      <c r="G321" s="62">
        <v>0</v>
      </c>
      <c r="H321" s="118">
        <f t="shared" si="11"/>
        <v>0</v>
      </c>
      <c r="I321" s="62">
        <v>0</v>
      </c>
      <c r="J321" s="62">
        <v>0</v>
      </c>
      <c r="K321" s="55"/>
      <c r="L321" s="56"/>
      <c r="M321" s="56"/>
      <c r="IK321" s="53"/>
      <c r="IL321" s="53"/>
      <c r="IM321" s="53"/>
      <c r="IN321" s="53"/>
      <c r="IO321" s="53"/>
    </row>
    <row r="322" spans="1:249" s="52" customFormat="1" ht="16.5" customHeight="1" hidden="1">
      <c r="A322" s="30" t="s">
        <v>28</v>
      </c>
      <c r="B322" s="39"/>
      <c r="C322" s="62">
        <f t="shared" si="16"/>
        <v>0</v>
      </c>
      <c r="D322" s="62">
        <v>0</v>
      </c>
      <c r="E322" s="62">
        <v>0</v>
      </c>
      <c r="F322" s="62">
        <v>0</v>
      </c>
      <c r="G322" s="62">
        <v>0</v>
      </c>
      <c r="H322" s="118">
        <f t="shared" si="11"/>
        <v>0</v>
      </c>
      <c r="I322" s="62">
        <v>0</v>
      </c>
      <c r="J322" s="62">
        <v>0</v>
      </c>
      <c r="K322" s="55"/>
      <c r="L322" s="56"/>
      <c r="M322" s="56"/>
      <c r="IK322" s="53"/>
      <c r="IL322" s="53"/>
      <c r="IM322" s="53"/>
      <c r="IN322" s="53"/>
      <c r="IO322" s="53"/>
    </row>
    <row r="323" spans="1:249" s="52" customFormat="1" ht="30" customHeight="1" hidden="1">
      <c r="A323" s="34" t="s">
        <v>19</v>
      </c>
      <c r="B323" s="39"/>
      <c r="C323" s="64">
        <f t="shared" si="16"/>
        <v>136</v>
      </c>
      <c r="D323" s="62">
        <f>K314*0.02</f>
        <v>0</v>
      </c>
      <c r="E323" s="62">
        <f>L314*0.02</f>
        <v>68</v>
      </c>
      <c r="F323" s="62">
        <f>M314*0.02</f>
        <v>68</v>
      </c>
      <c r="G323" s="62">
        <f>N314*0.02</f>
        <v>0</v>
      </c>
      <c r="H323" s="118">
        <f t="shared" si="11"/>
        <v>0</v>
      </c>
      <c r="I323" s="62">
        <v>0</v>
      </c>
      <c r="J323" s="64">
        <v>136</v>
      </c>
      <c r="K323" s="55"/>
      <c r="L323" s="55"/>
      <c r="M323" s="55"/>
      <c r="N323" s="65"/>
      <c r="IK323" s="53"/>
      <c r="IL323" s="53"/>
      <c r="IM323" s="53"/>
      <c r="IN323" s="53"/>
      <c r="IO323" s="53"/>
    </row>
    <row r="324" spans="1:249" s="52" customFormat="1" ht="42" customHeight="1">
      <c r="A324" s="82" t="s">
        <v>71</v>
      </c>
      <c r="B324" s="45" t="s">
        <v>78</v>
      </c>
      <c r="C324" s="23">
        <f t="shared" si="16"/>
        <v>3995</v>
      </c>
      <c r="D324" s="23">
        <f>D325+D326+D327</f>
        <v>0</v>
      </c>
      <c r="E324" s="23">
        <f>E325+E326+E327</f>
        <v>0</v>
      </c>
      <c r="F324" s="23">
        <f>F325+F326+F327</f>
        <v>0</v>
      </c>
      <c r="G324" s="23">
        <f>G325+G326+G327</f>
        <v>3995</v>
      </c>
      <c r="H324" s="118">
        <f t="shared" si="11"/>
        <v>0</v>
      </c>
      <c r="I324" s="23">
        <v>3995</v>
      </c>
      <c r="J324" s="23">
        <v>3995</v>
      </c>
      <c r="K324" s="67">
        <f>K325+K327</f>
        <v>0</v>
      </c>
      <c r="L324" s="67">
        <f>L325+L327</f>
        <v>0</v>
      </c>
      <c r="M324" s="67">
        <f>M325+M327</f>
        <v>0</v>
      </c>
      <c r="N324" s="67">
        <f>N325+N327</f>
        <v>3995</v>
      </c>
      <c r="IK324" s="53"/>
      <c r="IL324" s="53"/>
      <c r="IM324" s="53"/>
      <c r="IN324" s="53"/>
      <c r="IO324" s="53"/>
    </row>
    <row r="325" spans="1:249" s="52" customFormat="1" ht="16.5" customHeight="1">
      <c r="A325" s="26" t="s">
        <v>13</v>
      </c>
      <c r="B325" s="39"/>
      <c r="C325" s="54">
        <f t="shared" si="16"/>
        <v>545.1</v>
      </c>
      <c r="D325" s="54">
        <f>K325*0.15</f>
        <v>0</v>
      </c>
      <c r="E325" s="54">
        <f>L325*0.15</f>
        <v>0</v>
      </c>
      <c r="F325" s="62">
        <f>M325*0.15</f>
        <v>0</v>
      </c>
      <c r="G325" s="54">
        <f>N325*0.15</f>
        <v>545.1</v>
      </c>
      <c r="H325" s="118">
        <f t="shared" si="11"/>
        <v>0</v>
      </c>
      <c r="I325" s="54">
        <v>545.1</v>
      </c>
      <c r="J325" s="54">
        <v>545.1</v>
      </c>
      <c r="K325" s="126">
        <v>0</v>
      </c>
      <c r="L325" s="126">
        <v>0</v>
      </c>
      <c r="M325" s="126">
        <v>0</v>
      </c>
      <c r="N325" s="127">
        <f>1738+1896</f>
        <v>3634</v>
      </c>
      <c r="IK325" s="53"/>
      <c r="IL325" s="53"/>
      <c r="IM325" s="53"/>
      <c r="IN325" s="53"/>
      <c r="IO325" s="53"/>
    </row>
    <row r="326" spans="1:249" s="52" customFormat="1" ht="16.5" customHeight="1">
      <c r="A326" s="30" t="s">
        <v>14</v>
      </c>
      <c r="B326" s="39"/>
      <c r="C326" s="54">
        <f t="shared" si="16"/>
        <v>3088.9</v>
      </c>
      <c r="D326" s="54">
        <f>K325*0.85</f>
        <v>0</v>
      </c>
      <c r="E326" s="62">
        <f>L325*0.85</f>
        <v>0</v>
      </c>
      <c r="F326" s="62">
        <f>M325*0.85</f>
        <v>0</v>
      </c>
      <c r="G326" s="54">
        <f>N325*0.85</f>
        <v>3088.9</v>
      </c>
      <c r="H326" s="118">
        <f t="shared" si="11"/>
        <v>0</v>
      </c>
      <c r="I326" s="54">
        <v>3088.9</v>
      </c>
      <c r="J326" s="54">
        <v>3088.9</v>
      </c>
      <c r="K326" s="126"/>
      <c r="L326" s="126"/>
      <c r="M326" s="126"/>
      <c r="N326" s="127"/>
      <c r="IK326" s="53"/>
      <c r="IL326" s="53"/>
      <c r="IM326" s="53"/>
      <c r="IN326" s="53"/>
      <c r="IO326" s="53"/>
    </row>
    <row r="327" spans="1:249" s="52" customFormat="1" ht="16.5" customHeight="1">
      <c r="A327" s="30" t="s">
        <v>15</v>
      </c>
      <c r="B327" s="39"/>
      <c r="C327" s="54">
        <f t="shared" si="16"/>
        <v>361</v>
      </c>
      <c r="D327" s="54">
        <f>K327</f>
        <v>0</v>
      </c>
      <c r="E327" s="54">
        <f>L327</f>
        <v>0</v>
      </c>
      <c r="F327" s="54">
        <f>M327</f>
        <v>0</v>
      </c>
      <c r="G327" s="54">
        <f>N327</f>
        <v>361</v>
      </c>
      <c r="H327" s="118">
        <f t="shared" si="11"/>
        <v>0</v>
      </c>
      <c r="I327" s="54">
        <v>361</v>
      </c>
      <c r="J327" s="54">
        <v>361</v>
      </c>
      <c r="K327" s="67">
        <v>0</v>
      </c>
      <c r="L327" s="67">
        <v>0</v>
      </c>
      <c r="M327" s="67">
        <v>0</v>
      </c>
      <c r="N327" s="68">
        <v>361</v>
      </c>
      <c r="IK327" s="53"/>
      <c r="IL327" s="53"/>
      <c r="IM327" s="53"/>
      <c r="IN327" s="53"/>
      <c r="IO327" s="53"/>
    </row>
    <row r="328" spans="1:249" s="52" customFormat="1" ht="16.5" customHeight="1" hidden="1">
      <c r="A328" s="30"/>
      <c r="B328" s="39"/>
      <c r="C328" s="54"/>
      <c r="D328" s="54"/>
      <c r="E328" s="54"/>
      <c r="F328" s="54"/>
      <c r="G328" s="54"/>
      <c r="H328" s="118">
        <f t="shared" si="11"/>
        <v>0</v>
      </c>
      <c r="I328" s="54"/>
      <c r="J328" s="54"/>
      <c r="K328" s="69"/>
      <c r="L328" s="70"/>
      <c r="M328" s="69"/>
      <c r="N328" s="68"/>
      <c r="IK328" s="53"/>
      <c r="IL328" s="53"/>
      <c r="IM328" s="53"/>
      <c r="IN328" s="53"/>
      <c r="IO328" s="53"/>
    </row>
    <row r="329" spans="1:249" s="52" customFormat="1" ht="16.5" customHeight="1" hidden="1">
      <c r="A329" s="30"/>
      <c r="B329" s="39"/>
      <c r="C329" s="57">
        <f>C330+C331+C332+C334+C333</f>
        <v>3995</v>
      </c>
      <c r="D329" s="57">
        <f>D330+D331+D332+D334+D333</f>
        <v>0</v>
      </c>
      <c r="E329" s="57">
        <f>E330+E331+E332+E334+E333</f>
        <v>0</v>
      </c>
      <c r="F329" s="57">
        <f>F330+F331+F332+F334+F333</f>
        <v>0</v>
      </c>
      <c r="G329" s="57">
        <f>G330+G331+G332+G334+G333</f>
        <v>3995</v>
      </c>
      <c r="H329" s="118">
        <f t="shared" si="11"/>
        <v>0</v>
      </c>
      <c r="I329" s="57">
        <v>3995</v>
      </c>
      <c r="J329" s="57">
        <v>3995</v>
      </c>
      <c r="K329" s="72"/>
      <c r="L329" s="73"/>
      <c r="M329" s="73"/>
      <c r="N329" s="74"/>
      <c r="IK329" s="53"/>
      <c r="IL329" s="53"/>
      <c r="IM329" s="53"/>
      <c r="IN329" s="53"/>
      <c r="IO329" s="53"/>
    </row>
    <row r="330" spans="1:249" s="52" customFormat="1" ht="16.5" customHeight="1" hidden="1">
      <c r="A330" s="30" t="s">
        <v>16</v>
      </c>
      <c r="B330" s="39"/>
      <c r="C330" s="62">
        <f aca="true" t="shared" si="17" ref="C330:C338">D330+E330+F330+G330</f>
        <v>833.4200000000001</v>
      </c>
      <c r="D330" s="62">
        <f>K325*0.13</f>
        <v>0</v>
      </c>
      <c r="E330" s="62">
        <f>L325*0.13+L327</f>
        <v>0</v>
      </c>
      <c r="F330" s="62">
        <f>M325*0.13+M327</f>
        <v>0</v>
      </c>
      <c r="G330" s="62">
        <f>N325*0.13+N327</f>
        <v>833.4200000000001</v>
      </c>
      <c r="H330" s="118">
        <f t="shared" si="11"/>
        <v>0</v>
      </c>
      <c r="I330" s="62">
        <v>833.4200000000001</v>
      </c>
      <c r="J330" s="62">
        <v>833.4200000000001</v>
      </c>
      <c r="K330" s="55"/>
      <c r="L330" s="56"/>
      <c r="M330" s="56"/>
      <c r="IK330" s="53"/>
      <c r="IL330" s="53"/>
      <c r="IM330" s="53"/>
      <c r="IN330" s="53"/>
      <c r="IO330" s="53"/>
    </row>
    <row r="331" spans="1:249" s="52" customFormat="1" ht="16.5" customHeight="1" hidden="1">
      <c r="A331" s="30" t="s">
        <v>17</v>
      </c>
      <c r="B331" s="39"/>
      <c r="C331" s="62">
        <f t="shared" si="17"/>
        <v>3088.9</v>
      </c>
      <c r="D331" s="62">
        <f>K325*0.85</f>
        <v>0</v>
      </c>
      <c r="E331" s="62">
        <f>L325*0.85</f>
        <v>0</v>
      </c>
      <c r="F331" s="62">
        <f>M325*0.85</f>
        <v>0</v>
      </c>
      <c r="G331" s="62">
        <f>N325*0.85</f>
        <v>3088.9</v>
      </c>
      <c r="H331" s="118">
        <f t="shared" si="11"/>
        <v>0</v>
      </c>
      <c r="I331" s="62">
        <v>3088.9</v>
      </c>
      <c r="J331" s="62">
        <v>3088.9</v>
      </c>
      <c r="K331" s="55"/>
      <c r="L331" s="56"/>
      <c r="M331" s="56"/>
      <c r="IK331" s="53"/>
      <c r="IL331" s="53"/>
      <c r="IM331" s="53"/>
      <c r="IN331" s="53"/>
      <c r="IO331" s="53"/>
    </row>
    <row r="332" spans="1:249" s="52" customFormat="1" ht="16.5" customHeight="1" hidden="1">
      <c r="A332" s="30" t="s">
        <v>18</v>
      </c>
      <c r="B332" s="39"/>
      <c r="C332" s="62">
        <f t="shared" si="17"/>
        <v>0</v>
      </c>
      <c r="D332" s="62">
        <v>0</v>
      </c>
      <c r="E332" s="62">
        <v>0</v>
      </c>
      <c r="F332" s="62">
        <v>0</v>
      </c>
      <c r="G332" s="62">
        <v>0</v>
      </c>
      <c r="H332" s="118">
        <f t="shared" si="11"/>
        <v>0</v>
      </c>
      <c r="I332" s="62">
        <v>0</v>
      </c>
      <c r="J332" s="62">
        <v>0</v>
      </c>
      <c r="K332" s="55"/>
      <c r="L332" s="56"/>
      <c r="M332" s="56"/>
      <c r="IK332" s="53"/>
      <c r="IL332" s="53"/>
      <c r="IM332" s="53"/>
      <c r="IN332" s="53"/>
      <c r="IO332" s="53"/>
    </row>
    <row r="333" spans="1:249" s="52" customFormat="1" ht="16.5" customHeight="1" hidden="1">
      <c r="A333" s="30" t="s">
        <v>28</v>
      </c>
      <c r="B333" s="39"/>
      <c r="C333" s="62">
        <f t="shared" si="17"/>
        <v>0</v>
      </c>
      <c r="D333" s="62">
        <v>0</v>
      </c>
      <c r="E333" s="62">
        <v>0</v>
      </c>
      <c r="F333" s="62">
        <v>0</v>
      </c>
      <c r="G333" s="62">
        <v>0</v>
      </c>
      <c r="H333" s="118">
        <f t="shared" si="11"/>
        <v>0</v>
      </c>
      <c r="I333" s="62">
        <v>0</v>
      </c>
      <c r="J333" s="62">
        <v>0</v>
      </c>
      <c r="K333" s="55"/>
      <c r="L333" s="56"/>
      <c r="M333" s="56"/>
      <c r="IK333" s="53"/>
      <c r="IL333" s="53"/>
      <c r="IM333" s="53"/>
      <c r="IN333" s="53"/>
      <c r="IO333" s="53"/>
    </row>
    <row r="334" spans="1:249" s="52" customFormat="1" ht="14.25" hidden="1">
      <c r="A334" s="34" t="s">
        <v>19</v>
      </c>
      <c r="B334" s="39"/>
      <c r="C334" s="64">
        <f t="shared" si="17"/>
        <v>72.68</v>
      </c>
      <c r="D334" s="62">
        <f>K325*0.02</f>
        <v>0</v>
      </c>
      <c r="E334" s="62">
        <f>L325*0.02</f>
        <v>0</v>
      </c>
      <c r="F334" s="62">
        <f>M325*0.02</f>
        <v>0</v>
      </c>
      <c r="G334" s="62">
        <f>N325*0.02</f>
        <v>72.68</v>
      </c>
      <c r="H334" s="118">
        <f t="shared" si="11"/>
        <v>0</v>
      </c>
      <c r="I334" s="62">
        <v>72.68</v>
      </c>
      <c r="J334" s="64">
        <v>72.68</v>
      </c>
      <c r="K334" s="55">
        <v>2021</v>
      </c>
      <c r="L334" s="90"/>
      <c r="M334" s="55"/>
      <c r="N334" s="65"/>
      <c r="IK334" s="53"/>
      <c r="IL334" s="53"/>
      <c r="IM334" s="53"/>
      <c r="IN334" s="53"/>
      <c r="IO334" s="53"/>
    </row>
    <row r="335" spans="1:249" s="52" customFormat="1" ht="86.25">
      <c r="A335" s="82" t="s">
        <v>79</v>
      </c>
      <c r="B335" s="79" t="s">
        <v>80</v>
      </c>
      <c r="C335" s="23">
        <f t="shared" si="17"/>
        <v>1232</v>
      </c>
      <c r="D335" s="23">
        <f>D336+D337+D338</f>
        <v>0</v>
      </c>
      <c r="E335" s="23">
        <f>E336+E337+E338</f>
        <v>0</v>
      </c>
      <c r="F335" s="23">
        <f>F336+F337+F338</f>
        <v>0</v>
      </c>
      <c r="G335" s="23">
        <f>G336+G337+G338</f>
        <v>1232</v>
      </c>
      <c r="H335" s="118">
        <f aca="true" t="shared" si="18" ref="H335:H347">H334</f>
        <v>0</v>
      </c>
      <c r="I335" s="23">
        <v>1232</v>
      </c>
      <c r="J335" s="23">
        <v>1232</v>
      </c>
      <c r="K335" s="55">
        <v>1232</v>
      </c>
      <c r="L335" s="55"/>
      <c r="M335" s="55"/>
      <c r="N335" s="65"/>
      <c r="IK335" s="53"/>
      <c r="IL335" s="53"/>
      <c r="IM335" s="53"/>
      <c r="IN335" s="53"/>
      <c r="IO335" s="53"/>
    </row>
    <row r="336" spans="1:249" s="52" customFormat="1" ht="16.5" customHeight="1">
      <c r="A336" s="26" t="s">
        <v>13</v>
      </c>
      <c r="B336" s="39"/>
      <c r="C336" s="54">
        <f t="shared" si="17"/>
        <v>184.79999999999998</v>
      </c>
      <c r="D336" s="54">
        <f>K336*0.15</f>
        <v>0</v>
      </c>
      <c r="E336" s="54">
        <v>0</v>
      </c>
      <c r="F336" s="54">
        <v>0</v>
      </c>
      <c r="G336" s="54">
        <f>K335*0.15</f>
        <v>184.79999999999998</v>
      </c>
      <c r="H336" s="118">
        <f t="shared" si="18"/>
        <v>0</v>
      </c>
      <c r="I336" s="54">
        <v>184.79999999999998</v>
      </c>
      <c r="J336" s="54">
        <v>184.79999999999998</v>
      </c>
      <c r="K336" s="126"/>
      <c r="L336" s="126"/>
      <c r="M336" s="127"/>
      <c r="N336" s="127"/>
      <c r="IK336" s="53"/>
      <c r="IL336" s="53"/>
      <c r="IM336" s="53"/>
      <c r="IN336" s="53"/>
      <c r="IO336" s="53"/>
    </row>
    <row r="337" spans="1:249" s="52" customFormat="1" ht="16.5" customHeight="1">
      <c r="A337" s="30" t="s">
        <v>14</v>
      </c>
      <c r="B337" s="39"/>
      <c r="C337" s="54">
        <f t="shared" si="17"/>
        <v>1047.2</v>
      </c>
      <c r="D337" s="54">
        <f>K336*0.85</f>
        <v>0</v>
      </c>
      <c r="E337" s="54">
        <v>0</v>
      </c>
      <c r="F337" s="54">
        <v>0</v>
      </c>
      <c r="G337" s="54">
        <f>K335*0.85</f>
        <v>1047.2</v>
      </c>
      <c r="H337" s="118">
        <f t="shared" si="18"/>
        <v>0</v>
      </c>
      <c r="I337" s="54">
        <v>1047.2</v>
      </c>
      <c r="J337" s="54">
        <v>1047.2</v>
      </c>
      <c r="K337" s="126"/>
      <c r="L337" s="126"/>
      <c r="M337" s="126"/>
      <c r="N337" s="127"/>
      <c r="IK337" s="53"/>
      <c r="IL337" s="53"/>
      <c r="IM337" s="53"/>
      <c r="IN337" s="53"/>
      <c r="IO337" s="53"/>
    </row>
    <row r="338" spans="1:249" s="52" customFormat="1" ht="16.5" customHeight="1">
      <c r="A338" s="30" t="s">
        <v>15</v>
      </c>
      <c r="B338" s="39"/>
      <c r="C338" s="54">
        <f t="shared" si="17"/>
        <v>0</v>
      </c>
      <c r="D338" s="54">
        <v>0</v>
      </c>
      <c r="E338" s="54">
        <f>L338</f>
        <v>0</v>
      </c>
      <c r="F338" s="54">
        <v>0</v>
      </c>
      <c r="G338" s="54">
        <v>0</v>
      </c>
      <c r="H338" s="118">
        <f t="shared" si="18"/>
        <v>0</v>
      </c>
      <c r="I338" s="54">
        <v>0</v>
      </c>
      <c r="J338" s="54">
        <v>0</v>
      </c>
      <c r="K338" s="67"/>
      <c r="L338" s="67"/>
      <c r="M338" s="67"/>
      <c r="N338" s="68"/>
      <c r="IK338" s="53"/>
      <c r="IL338" s="53"/>
      <c r="IM338" s="53"/>
      <c r="IN338" s="53"/>
      <c r="IO338" s="53"/>
    </row>
    <row r="339" spans="1:249" s="52" customFormat="1" ht="16.5" customHeight="1" hidden="1">
      <c r="A339" s="30"/>
      <c r="B339" s="39"/>
      <c r="C339" s="54"/>
      <c r="D339" s="54"/>
      <c r="E339" s="54"/>
      <c r="F339" s="54"/>
      <c r="G339" s="54"/>
      <c r="H339" s="118">
        <f t="shared" si="18"/>
        <v>0</v>
      </c>
      <c r="I339" s="54"/>
      <c r="J339" s="54"/>
      <c r="K339" s="69"/>
      <c r="L339" s="70"/>
      <c r="M339" s="69"/>
      <c r="N339" s="68"/>
      <c r="IK339" s="53"/>
      <c r="IL339" s="53"/>
      <c r="IM339" s="53"/>
      <c r="IN339" s="53"/>
      <c r="IO339" s="53"/>
    </row>
    <row r="340" spans="1:249" s="52" customFormat="1" ht="16.5" customHeight="1" hidden="1">
      <c r="A340" s="30"/>
      <c r="B340" s="39"/>
      <c r="C340" s="57">
        <f>C341+C342+C343+C345+C344</f>
        <v>1232.0000000000002</v>
      </c>
      <c r="D340" s="57">
        <f>D341+D342+D343+D345+D344</f>
        <v>0</v>
      </c>
      <c r="E340" s="57">
        <f>E341+E342+E343+E345+E344</f>
        <v>0</v>
      </c>
      <c r="F340" s="57">
        <f>F341+F342+F343+F345+F344</f>
        <v>0</v>
      </c>
      <c r="G340" s="57">
        <f>G341+G342+G343+G345+G344</f>
        <v>1232.0000000000002</v>
      </c>
      <c r="H340" s="118">
        <f t="shared" si="18"/>
        <v>0</v>
      </c>
      <c r="I340" s="57">
        <v>1232.0000000000002</v>
      </c>
      <c r="J340" s="57">
        <v>1232.0000000000002</v>
      </c>
      <c r="K340" s="72"/>
      <c r="L340" s="73"/>
      <c r="M340" s="73"/>
      <c r="N340" s="74"/>
      <c r="IK340" s="53"/>
      <c r="IL340" s="53"/>
      <c r="IM340" s="53"/>
      <c r="IN340" s="53"/>
      <c r="IO340" s="53"/>
    </row>
    <row r="341" spans="1:249" s="52" customFormat="1" ht="16.5" customHeight="1" hidden="1">
      <c r="A341" s="30" t="s">
        <v>16</v>
      </c>
      <c r="B341" s="39"/>
      <c r="C341" s="62">
        <f>D341+E341+F341+G341</f>
        <v>160.16</v>
      </c>
      <c r="D341" s="62">
        <f>K336*0.13</f>
        <v>0</v>
      </c>
      <c r="E341" s="62">
        <v>0</v>
      </c>
      <c r="F341" s="62">
        <v>0</v>
      </c>
      <c r="G341" s="62">
        <f>K335*0.13</f>
        <v>160.16</v>
      </c>
      <c r="H341" s="118">
        <f t="shared" si="18"/>
        <v>0</v>
      </c>
      <c r="I341" s="62">
        <v>160.16</v>
      </c>
      <c r="J341" s="62">
        <v>160.16</v>
      </c>
      <c r="K341" s="55"/>
      <c r="L341" s="56"/>
      <c r="M341" s="56"/>
      <c r="IK341" s="53"/>
      <c r="IL341" s="53"/>
      <c r="IM341" s="53"/>
      <c r="IN341" s="53"/>
      <c r="IO341" s="53"/>
    </row>
    <row r="342" spans="1:249" s="52" customFormat="1" ht="16.5" customHeight="1" hidden="1">
      <c r="A342" s="30" t="s">
        <v>17</v>
      </c>
      <c r="B342" s="39"/>
      <c r="C342" s="62">
        <f>D342+E342+F342+G342</f>
        <v>1047.2</v>
      </c>
      <c r="D342" s="62">
        <f>K336*0.85</f>
        <v>0</v>
      </c>
      <c r="E342" s="62">
        <v>0</v>
      </c>
      <c r="F342" s="62">
        <v>0</v>
      </c>
      <c r="G342" s="62">
        <f>K335*0.85</f>
        <v>1047.2</v>
      </c>
      <c r="H342" s="118">
        <f t="shared" si="18"/>
        <v>0</v>
      </c>
      <c r="I342" s="62">
        <v>1047.2</v>
      </c>
      <c r="J342" s="62">
        <v>1047.2</v>
      </c>
      <c r="K342" s="55"/>
      <c r="L342" s="56"/>
      <c r="M342" s="56"/>
      <c r="IK342" s="53"/>
      <c r="IL342" s="53"/>
      <c r="IM342" s="53"/>
      <c r="IN342" s="53"/>
      <c r="IO342" s="53"/>
    </row>
    <row r="343" spans="1:249" s="52" customFormat="1" ht="16.5" customHeight="1" hidden="1">
      <c r="A343" s="30" t="s">
        <v>18</v>
      </c>
      <c r="B343" s="39"/>
      <c r="C343" s="62">
        <f>D343+E343+F343+G343</f>
        <v>0</v>
      </c>
      <c r="D343" s="62"/>
      <c r="E343" s="62"/>
      <c r="F343" s="62">
        <v>0</v>
      </c>
      <c r="G343" s="62"/>
      <c r="H343" s="118">
        <f t="shared" si="18"/>
        <v>0</v>
      </c>
      <c r="I343" s="62"/>
      <c r="J343" s="62">
        <v>0</v>
      </c>
      <c r="K343" s="55"/>
      <c r="L343" s="56"/>
      <c r="M343" s="56"/>
      <c r="IK343" s="53"/>
      <c r="IL343" s="53"/>
      <c r="IM343" s="53"/>
      <c r="IN343" s="53"/>
      <c r="IO343" s="53"/>
    </row>
    <row r="344" spans="1:249" s="52" customFormat="1" ht="16.5" customHeight="1" hidden="1">
      <c r="A344" s="30" t="s">
        <v>28</v>
      </c>
      <c r="B344" s="39"/>
      <c r="C344" s="62">
        <f>D344+E344+F344+G344</f>
        <v>0</v>
      </c>
      <c r="D344" s="62"/>
      <c r="E344" s="62"/>
      <c r="F344" s="62">
        <v>0</v>
      </c>
      <c r="G344" s="62">
        <v>0</v>
      </c>
      <c r="H344" s="118">
        <f t="shared" si="18"/>
        <v>0</v>
      </c>
      <c r="I344" s="62">
        <v>0</v>
      </c>
      <c r="J344" s="62">
        <v>0</v>
      </c>
      <c r="K344" s="55"/>
      <c r="L344" s="56"/>
      <c r="M344" s="56"/>
      <c r="IK344" s="53"/>
      <c r="IL344" s="53"/>
      <c r="IM344" s="53"/>
      <c r="IN344" s="53"/>
      <c r="IO344" s="53"/>
    </row>
    <row r="345" spans="1:249" s="52" customFormat="1" ht="14.25" hidden="1">
      <c r="A345" s="34" t="s">
        <v>19</v>
      </c>
      <c r="B345" s="39"/>
      <c r="C345" s="64">
        <f>D345+E345+F345+G345</f>
        <v>24.64</v>
      </c>
      <c r="D345" s="62">
        <f>K336*0.02</f>
        <v>0</v>
      </c>
      <c r="E345" s="62">
        <v>0</v>
      </c>
      <c r="F345" s="62">
        <v>0</v>
      </c>
      <c r="G345" s="62">
        <f>K335*2/100</f>
        <v>24.64</v>
      </c>
      <c r="H345" s="118">
        <f t="shared" si="18"/>
        <v>0</v>
      </c>
      <c r="I345" s="62">
        <v>24.64</v>
      </c>
      <c r="J345" s="64">
        <v>24.64</v>
      </c>
      <c r="K345" s="55"/>
      <c r="L345" s="55"/>
      <c r="M345" s="55"/>
      <c r="N345" s="65"/>
      <c r="IK345" s="53"/>
      <c r="IL345" s="53"/>
      <c r="IM345" s="53"/>
      <c r="IN345" s="53"/>
      <c r="IO345" s="53"/>
    </row>
    <row r="346" spans="1:249" s="60" customFormat="1" ht="16.5" customHeight="1">
      <c r="A346" s="131" t="s">
        <v>81</v>
      </c>
      <c r="B346" s="131"/>
      <c r="C346" s="41">
        <f>C269+C280+C291+C302+C313+C324+C335</f>
        <v>149941</v>
      </c>
      <c r="D346" s="41">
        <f>D269+D280+D291+D302+D313+D324+D335</f>
        <v>55835</v>
      </c>
      <c r="E346" s="41">
        <f>E269+E280+E291+E302+E313+E324+E335</f>
        <v>30885</v>
      </c>
      <c r="F346" s="41">
        <f>F269+F280+F291+F302+F313+F324+F335</f>
        <v>33771</v>
      </c>
      <c r="G346" s="41">
        <f>G269+G280+G291+G302+G313+G324+G335</f>
        <v>29450</v>
      </c>
      <c r="H346" s="118">
        <f t="shared" si="18"/>
        <v>0</v>
      </c>
      <c r="I346" s="41">
        <v>29450</v>
      </c>
      <c r="J346" s="41">
        <v>149941</v>
      </c>
      <c r="K346" s="58"/>
      <c r="L346" s="59"/>
      <c r="M346" s="59"/>
      <c r="IK346" s="61"/>
      <c r="IL346" s="61"/>
      <c r="IM346" s="61"/>
      <c r="IN346" s="61"/>
      <c r="IO346" s="61"/>
    </row>
    <row r="347" spans="1:246" ht="16.5" customHeight="1">
      <c r="A347" s="91"/>
      <c r="B347" s="15" t="s">
        <v>82</v>
      </c>
      <c r="C347" s="25">
        <f>C132+C162+C195+C249+C267+C346</f>
        <v>300177</v>
      </c>
      <c r="D347" s="25">
        <f>D132+D162+D195+D249+D267+D346</f>
        <v>59398</v>
      </c>
      <c r="E347" s="25">
        <f>E132+E162+E195+E249+E267+E346</f>
        <v>53768</v>
      </c>
      <c r="F347" s="25">
        <f>F132+F162+F195+F249+F267+F346</f>
        <v>99605</v>
      </c>
      <c r="G347" s="25">
        <f>G132+G162+G195+G249+G267+G346</f>
        <v>87406</v>
      </c>
      <c r="H347" s="118">
        <f t="shared" si="18"/>
        <v>0</v>
      </c>
      <c r="I347" s="25">
        <v>87406</v>
      </c>
      <c r="J347" s="25">
        <v>300177</v>
      </c>
      <c r="IK347" s="1"/>
      <c r="IL347" s="1"/>
    </row>
    <row r="348" spans="1:249" s="51" customFormat="1" ht="16.5" customHeight="1" hidden="1">
      <c r="A348" s="92"/>
      <c r="B348" s="93"/>
      <c r="C348" s="94"/>
      <c r="D348" s="95"/>
      <c r="E348" s="95"/>
      <c r="F348" s="54"/>
      <c r="G348" s="87"/>
      <c r="H348" s="118"/>
      <c r="I348" s="87"/>
      <c r="J348" s="94"/>
      <c r="K348" s="96"/>
      <c r="L348" s="1"/>
      <c r="M348" s="1"/>
      <c r="IK348" s="3"/>
      <c r="IL348" s="3"/>
      <c r="IM348" s="3"/>
      <c r="IN348" s="3"/>
      <c r="IO348" s="3"/>
    </row>
    <row r="349" spans="1:249" s="51" customFormat="1" ht="46.5" customHeight="1">
      <c r="A349" s="97"/>
      <c r="B349" s="98" t="s">
        <v>95</v>
      </c>
      <c r="C349" s="99">
        <f>C330+C319+C308+C297+C286+C275+C263+C252+C245+C235+C225+C214+C203+C191+C181+C150+C140+C128+C118+C108+C97+C86+C76+C66+C56+C46+C36+C26+C16+C341</f>
        <v>47067.44</v>
      </c>
      <c r="D349" s="114">
        <f>D330+D319+D308+D297+D286+D275+D263+D252+D245+D235+D225+D214+D203+D191+D181+D150+D140+D128+D118+D108+D97+D86+D76+D66+D56+D46+D36+D26+D16+D341+0.75</f>
        <v>15504.15</v>
      </c>
      <c r="E349" s="114">
        <f>E330+E319+E308+E297+E286+E275+E263+E252+E245+E235+E225+E214+E203+E191+E181+E150+E140+E128+E118+E108+E97+E86+E76+E66+E56+E46+E36+E26+E16+E341</f>
        <v>7715.95</v>
      </c>
      <c r="F349" s="114">
        <f>F330+F319+F308+F297+F286+F275+F263+F252+F245+F235+F225+F214+F203+F191+F181+F150+F140+F128+F118+F108+F97+F86+F76+F66+F56+F46+F36+F26+F16+F341</f>
        <v>12313.27</v>
      </c>
      <c r="G349" s="114">
        <f>G330+G319+G308+G297+G286+G275+G263+G252+G245+G235+G225+G214+G203+G191+G181+G150+G140+G128+G118+G108+G97+G86+G76+G66+G56+G46+G36+G26+G16+G341-0.75</f>
        <v>11534.07</v>
      </c>
      <c r="H349" s="121">
        <v>0</v>
      </c>
      <c r="I349" s="114">
        <v>11534.07</v>
      </c>
      <c r="J349" s="99">
        <v>47067.44</v>
      </c>
      <c r="K349" s="69"/>
      <c r="IK349" s="3"/>
      <c r="IL349" s="3"/>
      <c r="IM349" s="3"/>
      <c r="IN349" s="3"/>
      <c r="IO349" s="3"/>
    </row>
    <row r="350" spans="1:249" s="51" customFormat="1" ht="15.75" customHeight="1">
      <c r="A350" s="97"/>
      <c r="B350" s="98" t="s">
        <v>83</v>
      </c>
      <c r="C350" s="99">
        <f>C331+C320+C309+C298+C287+C276+C253+C246+C236+C226+C215+C204+C192+C182+C151+C141+C119+C109+C98+C87+C77+C67+C57+C47+C37+C27+C17+C129+C342</f>
        <v>230321.15000000002</v>
      </c>
      <c r="D350" s="99">
        <f>D331+D320+D309+D298+D287+D276+E253+D246+D236+D226+D215+D204+D192+D182+D151+D141+D119+D109+D98+D87+D77+D67+D57+D47+D37+D27+D17+D129+D342</f>
        <v>42766</v>
      </c>
      <c r="E350" s="99">
        <f>E331+E320+E309+E298+E287+E276+E246+E236+E226+E215+E204+E192+E182+E151+E141+E119+E109+E98+E87+E77+E67+E57+E47+E37+E27+E17+E129+E342</f>
        <v>43087.25</v>
      </c>
      <c r="F350" s="99">
        <f>F331+F320+F309+F298+F287+F276+F253+F246+F236+F226+F215+F204+F192+F182+F151+F141+F119+F109+F98+F87+F77+F67+F57+F47+F37+F27+F17+F129+F342</f>
        <v>77262.9</v>
      </c>
      <c r="G350" s="99">
        <f>G331+G320+G309+G298+G287+G276+G253+G246+G236+G226+G215+G204+G192+G182+G151+G141+G119+G109+G98+G87+G77+G67+G57+G47+G37+G27+G17+G129+G342</f>
        <v>67204.9</v>
      </c>
      <c r="H350" s="118">
        <v>0</v>
      </c>
      <c r="I350" s="99">
        <v>67204.9</v>
      </c>
      <c r="J350" s="99">
        <v>230321.15000000002</v>
      </c>
      <c r="K350" s="100"/>
      <c r="L350" s="74"/>
      <c r="M350" s="56"/>
      <c r="O350" s="60"/>
      <c r="P350" s="60"/>
      <c r="IK350" s="3"/>
      <c r="IL350" s="3"/>
      <c r="IM350" s="3"/>
      <c r="IN350" s="3"/>
      <c r="IO350" s="3"/>
    </row>
    <row r="351" spans="1:249" s="51" customFormat="1" ht="16.5" customHeight="1">
      <c r="A351" s="97"/>
      <c r="B351" s="98" t="s">
        <v>84</v>
      </c>
      <c r="C351" s="99">
        <f>C332+C321+C310+C299+C288+C277+C247+C237+C227+C216+C205+C193+C183+C152+C142+C120+C110+C99+C88+C78+C68+C58+C48+C38+C28+C18+0.05</f>
        <v>4139.5</v>
      </c>
      <c r="D351" s="99">
        <f>D332+D321+D310+D299+D288+D277+D247+D237+D227+D216+D205+D193+D183+D152+D142+D120+D110+D99+D88+D78+D68+D58+D48+D38+D28+D18</f>
        <v>103</v>
      </c>
      <c r="E351" s="99">
        <f>E332+E321+E310+E299+E288+E277+E247+E237+E227+E216+E205+E193+E183+E152+E142+E120+E110+E99+E88+E78+E68+E58+E48+E38+E28+E18</f>
        <v>915.5</v>
      </c>
      <c r="F351" s="99">
        <f>F332+F321+F310+F299+F288+F277+F247+F237+F227+F216+F205+F193+F183+F152+F142+F120+F110+F99+F88+F78+F68+F58+F48+F38+F28+F18</f>
        <v>2678.95</v>
      </c>
      <c r="G351" s="99">
        <f>G332+G321+G310+G299+G288+G277+G247+G237+G227+G216+G205+G193+G183+G152+G142+G120+G110+G99+G88+G78+G68+G58+G48+G38+G28+G18</f>
        <v>442</v>
      </c>
      <c r="H351" s="118">
        <v>0</v>
      </c>
      <c r="I351" s="99">
        <v>442</v>
      </c>
      <c r="J351" s="99">
        <v>4139.5</v>
      </c>
      <c r="K351" s="100"/>
      <c r="L351" s="74"/>
      <c r="M351" s="56"/>
      <c r="O351" s="60"/>
      <c r="P351" s="60"/>
      <c r="IK351" s="3"/>
      <c r="IL351" s="3"/>
      <c r="IM351" s="3"/>
      <c r="IN351" s="3"/>
      <c r="IO351" s="3"/>
    </row>
    <row r="352" spans="1:249" s="51" customFormat="1" ht="16.5" customHeight="1">
      <c r="A352" s="97"/>
      <c r="B352" s="98" t="s">
        <v>85</v>
      </c>
      <c r="C352" s="99">
        <f>C254</f>
        <v>1447</v>
      </c>
      <c r="D352" s="99">
        <f>D254</f>
        <v>0</v>
      </c>
      <c r="E352" s="99">
        <f>E254</f>
        <v>1447</v>
      </c>
      <c r="F352" s="99">
        <f>F254</f>
        <v>0</v>
      </c>
      <c r="G352" s="99">
        <f>G254</f>
        <v>0</v>
      </c>
      <c r="H352" s="118">
        <v>0</v>
      </c>
      <c r="I352" s="99">
        <v>0</v>
      </c>
      <c r="J352" s="99">
        <v>1447</v>
      </c>
      <c r="K352" s="100"/>
      <c r="L352" s="74"/>
      <c r="M352" s="56"/>
      <c r="O352" s="60"/>
      <c r="P352" s="60"/>
      <c r="IK352" s="3"/>
      <c r="IL352" s="3"/>
      <c r="IM352" s="3"/>
      <c r="IN352" s="3"/>
      <c r="IO352" s="3"/>
    </row>
    <row r="353" spans="1:249" s="51" customFormat="1" ht="14.25" customHeight="1">
      <c r="A353" s="97"/>
      <c r="B353" s="98" t="s">
        <v>86</v>
      </c>
      <c r="C353" s="99">
        <f>C264</f>
        <v>49</v>
      </c>
      <c r="D353" s="99">
        <f>D264</f>
        <v>3</v>
      </c>
      <c r="E353" s="99">
        <f>E264</f>
        <v>27</v>
      </c>
      <c r="F353" s="99">
        <f>F264</f>
        <v>19</v>
      </c>
      <c r="G353" s="99">
        <f>G264</f>
        <v>0</v>
      </c>
      <c r="H353" s="118">
        <v>0</v>
      </c>
      <c r="I353" s="99">
        <v>0</v>
      </c>
      <c r="J353" s="99">
        <v>49</v>
      </c>
      <c r="K353" s="100"/>
      <c r="L353" s="74"/>
      <c r="M353" s="56"/>
      <c r="O353" s="60"/>
      <c r="P353" s="60"/>
      <c r="IK353" s="3"/>
      <c r="IL353" s="3"/>
      <c r="IM353" s="3"/>
      <c r="IN353" s="3"/>
      <c r="IO353" s="3"/>
    </row>
    <row r="354" spans="1:249" s="51" customFormat="1" ht="15" customHeight="1">
      <c r="A354" s="97"/>
      <c r="B354" s="98" t="s">
        <v>87</v>
      </c>
      <c r="C354" s="99">
        <f>C89+C100+C278+C289+C300+C311+C322</f>
        <v>0</v>
      </c>
      <c r="D354" s="99">
        <f>D89+D100+D278+D289+D300+D311+D322</f>
        <v>0</v>
      </c>
      <c r="E354" s="99">
        <f>E89+E100+E278+E289+E300+E311+E322</f>
        <v>0</v>
      </c>
      <c r="F354" s="99">
        <f>F89+F100+F278+F289+F300+F311+F322</f>
        <v>0</v>
      </c>
      <c r="G354" s="99">
        <f>G89+G100+G278+G289+G300+G311+G322</f>
        <v>0</v>
      </c>
      <c r="H354" s="118">
        <v>0</v>
      </c>
      <c r="I354" s="99">
        <v>0</v>
      </c>
      <c r="J354" s="99">
        <v>0</v>
      </c>
      <c r="K354" s="100"/>
      <c r="L354" s="74"/>
      <c r="M354" s="56"/>
      <c r="O354" s="60"/>
      <c r="P354" s="60"/>
      <c r="IK354" s="3"/>
      <c r="IL354" s="3"/>
      <c r="IM354" s="3"/>
      <c r="IN354" s="3"/>
      <c r="IO354" s="3"/>
    </row>
    <row r="355" spans="1:249" s="51" customFormat="1" ht="15" customHeight="1">
      <c r="A355" s="97"/>
      <c r="B355" s="101" t="s">
        <v>19</v>
      </c>
      <c r="C355" s="99">
        <f>C334+C323+C312+C301+C290+C279+C266+C255+C248+C238+C228+C217+C206+C194+C184+C153+C143+C121+C111+C101+C90+C79+C69+C59+C49+C39+C29+C19+C131+C345+C174-C251</f>
        <v>17152.96</v>
      </c>
      <c r="D355" s="99">
        <f>D334+D323+D312+D301+D290+D279+D266+D255+D248+D238+D228+D217+D206+D194+D184+D153+D143+D121+D111+D101+D90+D79+D69+D59+D49+D39+D29+D19+D131+D345+D174-D251</f>
        <v>1022.1</v>
      </c>
      <c r="E355" s="99">
        <f>E334+E323+E312+E301+E290+E279+E266+E255+E248+E238+E228+E217+E206+E194+E184+E153+E143+E121+E111+E101+E90+E79+E69+E59+E49+E39+E29+E19+E131+E345+E174-E251</f>
        <v>575.3000000000002</v>
      </c>
      <c r="F355" s="99">
        <f>F334+F323+F312+F301+F290+F279+F266+F255+F248+F238+F228+F217+F206+F194+F184+F153+F143+F121+F111+F101+F90+F79+F69+F59+F49+F39+F29+F19+F131+F345+F174</f>
        <v>7331.08</v>
      </c>
      <c r="G355" s="99">
        <f>G334+G323+G312+G301+G290+G279+G266+G255+G248+G238+G228+G217+G206+G194+G184+G153+G143+G121+G111+G101+G90+G79+G69+G59+G49+G39+G29+G19+G131+G345+G174+0.5</f>
        <v>8224.98</v>
      </c>
      <c r="H355" s="99">
        <v>0</v>
      </c>
      <c r="I355" s="99">
        <v>8224.98</v>
      </c>
      <c r="J355" s="99">
        <v>17152.96</v>
      </c>
      <c r="K355" s="55"/>
      <c r="L355" s="55"/>
      <c r="M355" s="56"/>
      <c r="IK355" s="3"/>
      <c r="IL355" s="3"/>
      <c r="IM355" s="3"/>
      <c r="IN355" s="3"/>
      <c r="IO355" s="3"/>
    </row>
    <row r="356" spans="1:13" ht="16.5" customHeight="1">
      <c r="A356" s="102"/>
      <c r="B356" s="103" t="s">
        <v>88</v>
      </c>
      <c r="C356" s="104">
        <f>(C349+C350+C351+C354+C355+C353+C352)</f>
        <v>300177.05000000005</v>
      </c>
      <c r="D356" s="104">
        <f>(D349+D350+D351+D354+D355+D353+D352)</f>
        <v>59398.25</v>
      </c>
      <c r="E356" s="104">
        <f>(E349+E350+E351+E354+E355+E353+E352)</f>
        <v>53768</v>
      </c>
      <c r="F356" s="104">
        <f>(F349+F350+F351+F354+F355+F353+F352)</f>
        <v>99605.2</v>
      </c>
      <c r="G356" s="104">
        <f>(G349+G350+G351+G354+G355+G353+G352)</f>
        <v>87405.95</v>
      </c>
      <c r="H356" s="102">
        <v>0</v>
      </c>
      <c r="I356" s="104">
        <v>87405.95</v>
      </c>
      <c r="J356" s="104">
        <v>300177.05000000005</v>
      </c>
      <c r="L356" s="105"/>
      <c r="M356" s="105"/>
    </row>
    <row r="357" spans="1:13" ht="16.5" customHeight="1">
      <c r="A357" s="106"/>
      <c r="B357" s="107"/>
      <c r="C357" s="108"/>
      <c r="D357" s="108"/>
      <c r="E357" s="108"/>
      <c r="F357" s="108"/>
      <c r="G357" s="108"/>
      <c r="I357" s="108"/>
      <c r="J357" s="108"/>
      <c r="L357" s="105"/>
      <c r="M357" s="105"/>
    </row>
    <row r="358" spans="1:255" s="18" customFormat="1" ht="21" customHeight="1">
      <c r="A358" s="135" t="s">
        <v>97</v>
      </c>
      <c r="B358" s="135"/>
      <c r="C358" s="135"/>
      <c r="D358" s="135"/>
      <c r="E358" s="135"/>
      <c r="F358" s="135"/>
      <c r="G358" s="135"/>
      <c r="K358" s="19"/>
      <c r="L358" s="22"/>
      <c r="M358" s="22"/>
      <c r="IK358" s="20"/>
      <c r="IL358" s="20"/>
      <c r="IM358" s="20"/>
      <c r="IN358" s="20"/>
      <c r="IO358" s="20"/>
      <c r="IP358" s="20"/>
      <c r="IQ358" s="20"/>
      <c r="IR358" s="20"/>
      <c r="IS358" s="20"/>
      <c r="IT358" s="20"/>
      <c r="IU358" s="20"/>
    </row>
    <row r="359" spans="1:255" s="18" customFormat="1" ht="15.75" customHeight="1">
      <c r="A359" s="135" t="s">
        <v>98</v>
      </c>
      <c r="B359" s="135"/>
      <c r="C359" s="135"/>
      <c r="D359" s="135"/>
      <c r="E359" s="135"/>
      <c r="F359" s="135"/>
      <c r="G359" s="135"/>
      <c r="K359" s="19"/>
      <c r="L359" s="22"/>
      <c r="M359" s="22"/>
      <c r="IK359" s="20"/>
      <c r="IL359" s="20"/>
      <c r="IM359" s="20"/>
      <c r="IN359" s="20"/>
      <c r="IO359" s="20"/>
      <c r="IP359" s="20"/>
      <c r="IQ359" s="20"/>
      <c r="IR359" s="20"/>
      <c r="IS359" s="20"/>
      <c r="IT359" s="20"/>
      <c r="IU359" s="20"/>
    </row>
    <row r="360" spans="2:10" ht="15">
      <c r="B360" s="109"/>
      <c r="C360" s="110"/>
      <c r="J360" s="110"/>
    </row>
  </sheetData>
  <sheetProtection selectLockedCells="1" selectUnlockedCells="1"/>
  <mergeCells count="79">
    <mergeCell ref="A358:G358"/>
    <mergeCell ref="A359:G359"/>
    <mergeCell ref="K336:K337"/>
    <mergeCell ref="L336:L337"/>
    <mergeCell ref="A5:J5"/>
    <mergeCell ref="B209:B211"/>
    <mergeCell ref="B220:B222"/>
    <mergeCell ref="B230:B232"/>
    <mergeCell ref="B240:B242"/>
    <mergeCell ref="M336:M337"/>
    <mergeCell ref="N336:N337"/>
    <mergeCell ref="A346:B346"/>
    <mergeCell ref="K314:K315"/>
    <mergeCell ref="L314:L315"/>
    <mergeCell ref="M314:M315"/>
    <mergeCell ref="N314:N315"/>
    <mergeCell ref="K325:K326"/>
    <mergeCell ref="L325:L326"/>
    <mergeCell ref="M325:M326"/>
    <mergeCell ref="N325:N326"/>
    <mergeCell ref="K292:K293"/>
    <mergeCell ref="L292:L293"/>
    <mergeCell ref="M292:M293"/>
    <mergeCell ref="N292:N293"/>
    <mergeCell ref="K303:K304"/>
    <mergeCell ref="L303:L304"/>
    <mergeCell ref="M303:M304"/>
    <mergeCell ref="N303:N304"/>
    <mergeCell ref="N270:N271"/>
    <mergeCell ref="K281:K282"/>
    <mergeCell ref="L281:L282"/>
    <mergeCell ref="M281:M282"/>
    <mergeCell ref="N281:N282"/>
    <mergeCell ref="A267:B267"/>
    <mergeCell ref="A268:C268"/>
    <mergeCell ref="K270:K271"/>
    <mergeCell ref="L270:L271"/>
    <mergeCell ref="M270:M271"/>
    <mergeCell ref="A249:B249"/>
    <mergeCell ref="A250:C250"/>
    <mergeCell ref="M165:M166"/>
    <mergeCell ref="N165:N166"/>
    <mergeCell ref="B176:B178"/>
    <mergeCell ref="A195:B195"/>
    <mergeCell ref="A196:C196"/>
    <mergeCell ref="B198:B202"/>
    <mergeCell ref="B145:B147"/>
    <mergeCell ref="A162:B162"/>
    <mergeCell ref="A163:C163"/>
    <mergeCell ref="K165:K166"/>
    <mergeCell ref="L165:L166"/>
    <mergeCell ref="B155:B157"/>
    <mergeCell ref="B159:B161"/>
    <mergeCell ref="B103:B106"/>
    <mergeCell ref="B113:B116"/>
    <mergeCell ref="B123:B125"/>
    <mergeCell ref="A132:B132"/>
    <mergeCell ref="A133:C133"/>
    <mergeCell ref="B135:B137"/>
    <mergeCell ref="L92:L93"/>
    <mergeCell ref="M92:M93"/>
    <mergeCell ref="N92:N93"/>
    <mergeCell ref="B81:B83"/>
    <mergeCell ref="K81:K82"/>
    <mergeCell ref="L81:L82"/>
    <mergeCell ref="M81:M82"/>
    <mergeCell ref="N81:N82"/>
    <mergeCell ref="B41:B43"/>
    <mergeCell ref="B51:B53"/>
    <mergeCell ref="B61:B63"/>
    <mergeCell ref="B71:B73"/>
    <mergeCell ref="B92:B94"/>
    <mergeCell ref="K92:K93"/>
    <mergeCell ref="A2:B2"/>
    <mergeCell ref="A3:C3"/>
    <mergeCell ref="A9:C9"/>
    <mergeCell ref="B11:B13"/>
    <mergeCell ref="B21:B23"/>
    <mergeCell ref="B31:B34"/>
  </mergeCells>
  <printOptions/>
  <pageMargins left="0.5118110236220472" right="0.3937007874015748" top="0.6692913385826772" bottom="0.2755905511811024" header="0.5118110236220472" footer="0.5118110236220472"/>
  <pageSetup fitToHeight="15" horizontalDpi="600" verticalDpi="600" orientation="landscape" paperSize="9" scale="76" r:id="rId1"/>
  <rowBreaks count="5" manualBreakCount="5">
    <brk id="63" max="9" man="1"/>
    <brk id="143" max="9" man="1"/>
    <brk id="195" max="9" man="1"/>
    <brk id="267" max="9" man="1"/>
    <brk id="323"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utilizator seppd1</dc:creator>
  <cp:keywords/>
  <dc:description/>
  <cp:lastModifiedBy>utilizator seppd1</cp:lastModifiedBy>
  <cp:lastPrinted>2022-09-28T08:09:29Z</cp:lastPrinted>
  <dcterms:created xsi:type="dcterms:W3CDTF">2022-01-31T15:46:36Z</dcterms:created>
  <dcterms:modified xsi:type="dcterms:W3CDTF">2022-09-28T09:03:54Z</dcterms:modified>
  <cp:category/>
  <cp:version/>
  <cp:contentType/>
  <cp:contentStatus/>
</cp:coreProperties>
</file>